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strukcja" sheetId="1" r:id="rId1"/>
    <sheet name="Zalozenia" sheetId="2" r:id="rId2"/>
    <sheet name="Historia" sheetId="3" r:id="rId3"/>
    <sheet name="DCF_Pesymistyczny" sheetId="4" r:id="rId4"/>
    <sheet name="DCF_Bazowy" sheetId="5" r:id="rId5"/>
    <sheet name="DCF_Optymistyczny" sheetId="6" r:id="rId6"/>
    <sheet name="Wynik" sheetId="7" r:id="rId7"/>
  </sheets>
  <calcPr calcId="124519" fullCalcOnLoad="1"/>
</workbook>
</file>

<file path=xl/sharedStrings.xml><?xml version="1.0" encoding="utf-8"?>
<sst xmlns="http://schemas.openxmlformats.org/spreadsheetml/2006/main" count="557" uniqueCount="238">
  <si>
    <t>Model DCF — instrukcja skrócona</t>
  </si>
  <si>
    <t>ServiceNow (NOW): model DCF, dane na 7.10.2026. Założenia: wynagrodzenia akcjami (SBC) jako koszt niegotówkowy, g 4,0%, WACC 9,5%, wzrost zbieżny z celem spółki na 2030, kapitał obrotowy -15% przyrostu przychodów. Zmień niebieskie komórki i sprawdź własny scenariusz; wariant z SBC jako pełnym kosztem opisuję w analizie.</t>
  </si>
  <si>
    <t>Legenda kolorów</t>
  </si>
  <si>
    <t>Niebieski tekst na żółtym tle: dane wejściowe — to jedyne komórki, które zmieniasz.</t>
  </si>
  <si>
    <t>Czarny tekst: formuły. Szare tło: lata 6–10 liczone automatycznie (wygaszanie). Nie nadpisuj ich wartościami.</t>
  </si>
  <si>
    <t>Zielony tekst: odwołania do innych arkuszy.</t>
  </si>
  <si>
    <t>Jak działa model</t>
  </si>
  <si>
    <t>1. Lata 6–10: wzrost przychodów schodzi liniowo do g, marża EBITDA do marży docelowej scenariusza, amortyzacja do poziomu stanu ustalonego, capex do (capex/amortyzacja) × amortyzacja, podatek do stawki ustawowej.</t>
  </si>
  <si>
    <t>2. Amortyzacja, stawka podatku (gotówkowa) i inne reinwestycje są wpisywane rok po roku (sekcja 5 Zalozenia).</t>
  </si>
  <si>
    <t>3. Kapitał obrotowy może być ujemny (np. handel z ujemnym cyklem gotówkowym).</t>
  </si>
  <si>
    <t>4. Odwrócony DCF: arkusz Wynik pokazuje WACC, przy którym wartość = kurs. To miara oczekiwań rynku, nie cel.</t>
  </si>
  <si>
    <t>5. Kontrole spójności: RONIC w wartości końcowej (czy wzrost tworzy wartość) i przyrostowy ROIC w prognozie (czy capex „kupuje” prognozowany wzrost).</t>
  </si>
  <si>
    <t>Jak pracować z modelem</t>
  </si>
  <si>
    <t>1. Historia: 3 ostatnie lata sprawozdań. 2. Zalozenia → sekcje 1–4. 3. Sekcja 5: capex, amortyzacja, podatek gotówkowy, inne reinwestycje na lata 1–5. 4. Sekcja 6: scenariusze (lata 1–5, marża docelowa, korekta WACC, g, waga). 5. Wynik: kontrole, odwrócony DCF, liczby do panelu.</t>
  </si>
  <si>
    <t>Ważne</t>
  </si>
  <si>
    <t>Wynik modelu nie jest rekomendacją inwestycyjną. Model nie nadaje się do banków i ubezpieczycieli.</t>
  </si>
  <si>
    <t>Kwoty w mln USD, wartość na akcję w USD. Pierwszy rok prognozy to rok po ostatnim roku historii.</t>
  </si>
  <si>
    <t>Założenia modelu DCF</t>
  </si>
  <si>
    <t>Zmieniasz tylko komórki niebieskie na żółtym tle. Kwoty w mln USD. Kolumny H–L (szare) liczą się same.</t>
  </si>
  <si>
    <t>1. Dane spółki</t>
  </si>
  <si>
    <t>Nazwa spółki</t>
  </si>
  <si>
    <t>ServiceNow, Inc.</t>
  </si>
  <si>
    <t>Ticker</t>
  </si>
  <si>
    <t>NOW</t>
  </si>
  <si>
    <t>Jednostka kwot</t>
  </si>
  <si>
    <t>mln USD</t>
  </si>
  <si>
    <t>Tylko opis; model nie przelicza walut.</t>
  </si>
  <si>
    <t>Data wyceny</t>
  </si>
  <si>
    <t>Musi wypadać w pierwszym roku prognozy.</t>
  </si>
  <si>
    <t>Kurs akcji (USD)</t>
  </si>
  <si>
    <t>Kurs z dnia wyceny (lub ostatnie zamknięcie).</t>
  </si>
  <si>
    <t>Liczba akcji rozwodniona (mln)</t>
  </si>
  <si>
    <t>Pierwszy rok prognozy</t>
  </si>
  <si>
    <t>Rok po ostatnim roku z arkusza Historia.</t>
  </si>
  <si>
    <t>Stawka podatku ustawowa (CIT)</t>
  </si>
  <si>
    <t>Używana w roku końcowym i jako cel wygaszania stawki gotówkowej w latach 6–10.</t>
  </si>
  <si>
    <t>2. Koszt kapitału (WACC)</t>
  </si>
  <si>
    <t>Stopa wolna od ryzyka</t>
  </si>
  <si>
    <t>Rentowność 10-letnich obligacji skarbowych z dnia wyceny.</t>
  </si>
  <si>
    <t>Premia za ryzyko rynku (ERP)</t>
  </si>
  <si>
    <t>Najlepiej implikowana ERP z bieżących cen (np. Damodaran, aktualizacja miesięczna), spójna z bieżącym Rf.</t>
  </si>
  <si>
    <t>Beta</t>
  </si>
  <si>
    <t>Najlepiej bottom-up (bety branżowe nielewarowane, ważone segmentami, zlewarowane D/E spółki) albo skorygowana Blume'a; surowa beta z regresji bywa zniekształcona.</t>
  </si>
  <si>
    <t>Premia za wielkość i płynność</t>
  </si>
  <si>
    <t>0 dla dużych, płynnych spółek.</t>
  </si>
  <si>
    <t>Koszt kapitału własnego</t>
  </si>
  <si>
    <t>Rf + beta × ERP + premia</t>
  </si>
  <si>
    <t>Kontrola: oczekiwany zwrot z rynku (Rf + ERP)</t>
  </si>
  <si>
    <t>Porównaj z implikowanym oczekiwanym zwrotem z indeksu; dużo wyższy oznacza zbyt wysoką ERP przy danym Rf.</t>
  </si>
  <si>
    <t>Koszt długu przed podatkiem</t>
  </si>
  <si>
    <t>Koszt długu po podatku</t>
  </si>
  <si>
    <t>Udział długu w kapitale, D/(D+E)</t>
  </si>
  <si>
    <t>Wartości rynkowe, struktura docelowa.</t>
  </si>
  <si>
    <t>WACC bazowy</t>
  </si>
  <si>
    <t>Scenariusze dodają własną korektę (sekcja 6).</t>
  </si>
  <si>
    <t>3. Od wartości przedsiębiorstwa (EV) do kapitału własnego</t>
  </si>
  <si>
    <t>Dług netto wg ostatniego bilansu</t>
  </si>
  <si>
    <t>Dług odsetkowy minus gotówka i papiery.</t>
  </si>
  <si>
    <t>Zobowiązania leasingowe poza długiem netto</t>
  </si>
  <si>
    <t>Odejmuj, gdy EBITDA jest przed kosztem leasingu (amortyzacja aktywów z leasingu w D&amp;A).</t>
  </si>
  <si>
    <t>Rezerwy i zobowiązania o charakterze dłużnym</t>
  </si>
  <si>
    <t>Np. emerytalne; podatek odroczony od niezrealizowanych zysków na aktywach nieoperacyjnych.</t>
  </si>
  <si>
    <t>Udziały mniejszości</t>
  </si>
  <si>
    <t>Aktywa finansowe nieoperacyjne</t>
  </si>
  <si>
    <t>Dodawane do wartości.</t>
  </si>
  <si>
    <t>Korekty razem (odejmowane od EV)</t>
  </si>
  <si>
    <t>4. Parametry wspólne dla scenariuszy</t>
  </si>
  <si>
    <t>Kapitał obrotowy netto (% przyrostu przychodów)</t>
  </si>
  <si>
    <t>Może być ujemny: wtedy wzrost przychodów uwalnia gotówkę. Punkt odniesienia: Historia.</t>
  </si>
  <si>
    <t>Capex / amortyzacja w stanie ustalonym</t>
  </si>
  <si>
    <t>Rok końcowy: capex = amortyzacja × ten mnożnik (zwykle 1,0–1,2). Cel wygaszania capexu w latach 6–10.</t>
  </si>
  <si>
    <t>Amortyzacja w stanie ustalonym (% przychodów)</t>
  </si>
  <si>
    <t>Cel wygaszania amortyzacji w latach 6–10 i poziom w roku końcowym. Bez amortyzacji wartości niematerialnych z przejęć: tej capex nie odtwarza (patrz Historia: capex / amortyzacja).</t>
  </si>
  <si>
    <t>Dyskontowanie w połowie roku (1 = tak, 0 = nie)</t>
  </si>
  <si>
    <t>Mnożnik EV/EBITDA do kontroli wartości końcowej</t>
  </si>
  <si>
    <t>Mnożnik dla dojrzałej spółki; rynkowe mnożniki dzisiaj zawierają oczekiwany wzrost, więc zwykle są wyższe.</t>
  </si>
  <si>
    <t>Próg udziału wartości końcowej w EV</t>
  </si>
  <si>
    <t>Krok WACC w tabelach wrażliwości</t>
  </si>
  <si>
    <t>Krok g w tabelach wrażliwości</t>
  </si>
  <si>
    <t>Krok marży EBITDA w tabelach wrażliwości</t>
  </si>
  <si>
    <t>5. Założenia roczne wspólne dla scenariuszy</t>
  </si>
  <si>
    <t>Rok</t>
  </si>
  <si>
    <t>Lata 1–5: dane wejściowe. Lata 6–10: wygaszanie liniowe do stanu ustalonego.</t>
  </si>
  <si>
    <t>Amortyzacja (% przychodów)</t>
  </si>
  <si>
    <t>Amortyzacja majątku odtwarzanego capexem (lub wierszem 'inne reinwestycje'), bez amortyzacji wartości niematerialnych z przejęć. Przy dużym capexie rośnie z opóźnieniem.</t>
  </si>
  <si>
    <t>Capex (% przychodów)</t>
  </si>
  <si>
    <t>Wydatki na rzeczowe aktywa trwałe i wartości niematerialne (gotówkowo, netto).</t>
  </si>
  <si>
    <t>Inne reinwestycje poza capexem (% przychodów)</t>
  </si>
  <si>
    <t>Np. treści (wideo) i nowe leasingi, jeśli ich amortyzacja jest w D&amp;A. W roku końcowym zawarte w capex = k × D&amp;A.</t>
  </si>
  <si>
    <t>Stawka podatku gotówkowego</t>
  </si>
  <si>
    <t>Faktycznie płacony podatek / EBIT (np. przy natychmiastowej amortyzacji podatkowej niższy od ustawowego).</t>
  </si>
  <si>
    <t>6. Scenariusze</t>
  </si>
  <si>
    <t>Scenariusz pesymistyczny</t>
  </si>
  <si>
    <t>Wzrost przychodów</t>
  </si>
  <si>
    <t>Marża EBITDA</t>
  </si>
  <si>
    <t>Lata 6–10: liniowo do g.</t>
  </si>
  <si>
    <t>Marża EBITDA docelowa (rok 10 i rok końcowy)</t>
  </si>
  <si>
    <t>Domyślnie równa marży z roku 5. Wyżej tylko z nazwanego powodu (np. zmiana miksu).</t>
  </si>
  <si>
    <t>Korekta WACC względem bazowego (pp)</t>
  </si>
  <si>
    <t>Wzrost długoterminowy g</t>
  </si>
  <si>
    <t>Nie wyżej niż stopa wolna od ryzyka i długoterminowy nominalny wzrost PKB.</t>
  </si>
  <si>
    <t>Waga scenariusza (do średniej ważonej)</t>
  </si>
  <si>
    <t>Scenariusz bazowy</t>
  </si>
  <si>
    <t>Scenariusz optymistyczny</t>
  </si>
  <si>
    <t>Suma wag scenariuszy (musi wynosić 100%)</t>
  </si>
  <si>
    <t>Dane historyczne</t>
  </si>
  <si>
    <t>Sprawozdania z 3 ostatnich lat (mln USD).</t>
  </si>
  <si>
    <t>Uwagi</t>
  </si>
  <si>
    <t>Przychody</t>
  </si>
  <si>
    <t>Przychody ze sprzedaży.</t>
  </si>
  <si>
    <t>EBITDA</t>
  </si>
  <si>
    <t>Historyczna EBITDA = zysk operacyjny GAAP plus amortyzacja, czyli po wynagrodzeniach akcjami (SBC). 2025: 1 824 + 738 mln USD. Prognoza w tym modelu jest przed SBC (SBC traktowane jako koszt niegotówkowy), więc marża w prognozie nie jest porównywalna z historyczną.</t>
  </si>
  <si>
    <t>Amortyzacja</t>
  </si>
  <si>
    <t>Amortyzacja 2025.</t>
  </si>
  <si>
    <t>Punkt odniesienia dla sekcji 5 w Zalozenia.</t>
  </si>
  <si>
    <t>EBIT</t>
  </si>
  <si>
    <t>Zysk netto</t>
  </si>
  <si>
    <t>Capex</t>
  </si>
  <si>
    <t>Wydatki na rzeczowe aktywa trwałe i wartości niematerialne (2025: 868 mln USD).</t>
  </si>
  <si>
    <t>Punkt odniesienia dla capexu w Zalozenia.</t>
  </si>
  <si>
    <t>Capex / amortyzacja</t>
  </si>
  <si>
    <t>Poniżej 1,0 w rosnącej firmie zwykle znaczy, że amortyzacja zawiera wartości niematerialne z przejęć; w Zalozenia wpisz amortyzację bez nich.</t>
  </si>
  <si>
    <t>Wolne przepływy (FCF) wg sprawozdań</t>
  </si>
  <si>
    <t>Informacyjnie; model liczy FCFF od zera.</t>
  </si>
  <si>
    <t>Dług netto / EBITDA</t>
  </si>
  <si>
    <t>Kapitał obrotowy netto (operacyjny)</t>
  </si>
  <si>
    <t>Brak zweryfikowanych danych; spółka ma ujemny kapitał obrotowy (przychody przyszłych okresów ok. 8 mld USD).</t>
  </si>
  <si>
    <t>Kapitał obrotowy (% przychodów)</t>
  </si>
  <si>
    <t>Punkt odniesienia dla parametru w Zalozenia (sekcja 4).</t>
  </si>
  <si>
    <t>n/d</t>
  </si>
  <si>
    <t>DCF — scenariusz pesymistyczny</t>
  </si>
  <si>
    <t>Rachunek wyników i przepływów</t>
  </si>
  <si>
    <t>Rok końcowy</t>
  </si>
  <si>
    <t>Historia</t>
  </si>
  <si>
    <t>Prognoza szczegółowa</t>
  </si>
  <si>
    <t>Wygaszanie do stanu ustalonego</t>
  </si>
  <si>
    <t>Normalizacja</t>
  </si>
  <si>
    <t>%</t>
  </si>
  <si>
    <t>Podatek od EBIT</t>
  </si>
  <si>
    <t>NOPAT (EBIT po podatku)</t>
  </si>
  <si>
    <t>Plus: amortyzacja</t>
  </si>
  <si>
    <t>Minus: capex</t>
  </si>
  <si>
    <t>Minus: inne reinwestycje poza capexem</t>
  </si>
  <si>
    <t>Minus: przyrost kapitału obrotowego</t>
  </si>
  <si>
    <t>FCFF (wolne przepływy dla firmy)</t>
  </si>
  <si>
    <t>FCFF jako % przychodów</t>
  </si>
  <si>
    <t>Parametry dyskontowania</t>
  </si>
  <si>
    <t>Korekta WACC w scenariuszu</t>
  </si>
  <si>
    <t>pp</t>
  </si>
  <si>
    <t>WACC w scenariuszu</t>
  </si>
  <si>
    <t>Udział roku w wycenie (rok 1 = od daty wyceny do końca roku)</t>
  </si>
  <si>
    <t>Okres dyskontowania t</t>
  </si>
  <si>
    <t>lata</t>
  </si>
  <si>
    <t>Współczynnik dyskonta</t>
  </si>
  <si>
    <t>FCFF przypadający na okres wyceny</t>
  </si>
  <si>
    <t>Wartość bieżąca FCFF (PV)</t>
  </si>
  <si>
    <t>Wartość końcowa (metoda Gordona) i kontrole spójności</t>
  </si>
  <si>
    <t>FCFF roku końcowego (znormalizowany)</t>
  </si>
  <si>
    <t>FCFF roku końcowego przed zmianą kapitału obrotowego, na jednostkę przychodów</t>
  </si>
  <si>
    <t>Wartość końcowa na koniec prognozy</t>
  </si>
  <si>
    <t>Współczynnik dyskonta wartości końcowej</t>
  </si>
  <si>
    <t>Wartość bieżąca wartości końcowej</t>
  </si>
  <si>
    <t>Implikowany mnożnik EV/EBITDA wartości końcowej</t>
  </si>
  <si>
    <t>x</t>
  </si>
  <si>
    <t>Mnożnik kontrolny (z Zalozenia)</t>
  </si>
  <si>
    <t>Wartość bieżąca wartości końcowej wg mnożnika kontrolnego</t>
  </si>
  <si>
    <t>RONIC w roku końcowym: g × NOPAT / reinwestycje netto</t>
  </si>
  <si>
    <t>Przyrostowy ROIC w prognozie: ΔEBIT×(1−CIT) lata 1→10 / reinwestycje netto lat 1–9</t>
  </si>
  <si>
    <t>Udział lat 6–10 (PV FCFF) w EV</t>
  </si>
  <si>
    <t>Od wartości przedsiębiorstwa do wartości na akcję</t>
  </si>
  <si>
    <t>Suma PV FCFF (lata 1–10)</t>
  </si>
  <si>
    <t>PV wartości końcowej</t>
  </si>
  <si>
    <t>Wartość przedsiębiorstwa (EV)</t>
  </si>
  <si>
    <t>Udział wartości końcowej w EV</t>
  </si>
  <si>
    <t>Minus: korekty razem (dług netto, leasing, rezerwy, mniejszość, plus aktywa fin.)</t>
  </si>
  <si>
    <t>Wartość kapitału własnego</t>
  </si>
  <si>
    <t>Liczba akcji rozwodniona</t>
  </si>
  <si>
    <t>mln</t>
  </si>
  <si>
    <t>Wartość godziwa na akcję</t>
  </si>
  <si>
    <t>USD</t>
  </si>
  <si>
    <t>Kurs akcji</t>
  </si>
  <si>
    <t>Potencjał do wartości godziwej względem kursu</t>
  </si>
  <si>
    <t>Implikowany EV / EBITDA pierwszego roku prognozy</t>
  </si>
  <si>
    <t>Kontrola: wartość na akcję przy wartości końcowej wg mnożnika</t>
  </si>
  <si>
    <t>Odwrócony DCF: WACC, przy którym wartość = kurs</t>
  </si>
  <si>
    <t>Wrażliwość A: wartość na akcję (USD) — WACC (wiersze) × wzrost długoterminowy g (kolumny)</t>
  </si>
  <si>
    <t>WACC ↓      g →</t>
  </si>
  <si>
    <t>Wrażliwość B: wartość na akcję (USD) — WACC (wiersze) × zmiana marży EBITDA we wszystkich latach</t>
  </si>
  <si>
    <t>WACC ↓      zmiana marży (pp) →</t>
  </si>
  <si>
    <t>Odwrócony DCF: wartość na akcję przy różnych WACC (bazowe g i założenia scenariusza)</t>
  </si>
  <si>
    <t>WACC</t>
  </si>
  <si>
    <t>Wartość na akcję</t>
  </si>
  <si>
    <t>Tabele i siatka liczone zwykłymi formułami (bez tabel danych Excela). Pogrubiony środek tabel = wartość na akcję.</t>
  </si>
  <si>
    <t>DCF — scenariusz bazowy</t>
  </si>
  <si>
    <t>DCF — scenariusz optymistyczny</t>
  </si>
  <si>
    <t>Wynik wyceny DCF</t>
  </si>
  <si>
    <t>Scenariusze</t>
  </si>
  <si>
    <t>Pesymistyczny</t>
  </si>
  <si>
    <t>Bazowy</t>
  </si>
  <si>
    <t>Optymistyczny</t>
  </si>
  <si>
    <t>Średnia ważona</t>
  </si>
  <si>
    <t>Waga scenariusza</t>
  </si>
  <si>
    <t>Marża EBITDA w roku 10</t>
  </si>
  <si>
    <t>Wartość przedsiębiorstwa (EV), mln USD</t>
  </si>
  <si>
    <t>Wartość kapitału własnego, mln USD</t>
  </si>
  <si>
    <t>Wartość godziwa na akcję, USD</t>
  </si>
  <si>
    <t>Implikowany EV/EBITDA wartości końcowej</t>
  </si>
  <si>
    <t>RONIC w roku końcowym</t>
  </si>
  <si>
    <t>Przyrostowy ROIC w prognozie</t>
  </si>
  <si>
    <t>Odwrócony DCF: WACC implikowany kursem</t>
  </si>
  <si>
    <t>Kurs akcji, USD</t>
  </si>
  <si>
    <t>Przedział wartości godziwej (scenariusz bazowy)</t>
  </si>
  <si>
    <t>Dolny koniec: WACC + krok, bazowe g</t>
  </si>
  <si>
    <t>Górny koniec: WACC − krok, bazowe g</t>
  </si>
  <si>
    <t>Wartość bazowa</t>
  </si>
  <si>
    <t>Do wpisania w panelu Keystatic (Wycena)</t>
  </si>
  <si>
    <t>Wartość od (USD)</t>
  </si>
  <si>
    <t>Wartość do (USD)</t>
  </si>
  <si>
    <t>Wartość bazowa (USD)</t>
  </si>
  <si>
    <t>Kurs w dniu publikacji (USD)</t>
  </si>
  <si>
    <t>Do komponentu „Scenariusze wyceny” w treści analizy</t>
  </si>
  <si>
    <t>Scenariusz</t>
  </si>
  <si>
    <t>Wartość</t>
  </si>
  <si>
    <t>Założenia</t>
  </si>
  <si>
    <t>Kontrole poprawności</t>
  </si>
  <si>
    <t>Wagi scenariuszy sumują się do 100%</t>
  </si>
  <si>
    <t>WACC jest wyższy niż g w każdym scenariuszu</t>
  </si>
  <si>
    <t>Udział wartości końcowej w EV nie przekracza progu</t>
  </si>
  <si>
    <t>Kolejność scenariuszy: pesymistyczny ≤ bazowy ≤ optymistyczny</t>
  </si>
  <si>
    <t>Środek tabeli wrażliwości A = wartość na akcję (każdy scenariusz)</t>
  </si>
  <si>
    <t>Środek tabeli wrażliwości B = wartość na akcję (każdy scenariusz)</t>
  </si>
  <si>
    <t>EBIT dodatni we wszystkich latach prognozy</t>
  </si>
  <si>
    <t>Data wyceny mieści się w pierwszym roku prognozy</t>
  </si>
  <si>
    <t>Pierwszy rok prognozy następuje po ostatnim roku historii</t>
  </si>
  <si>
    <t>RONIC w roku końcowym ≥ WACC (wzrost po prognozie tworzy wartość; scenariusz bazowy)</t>
  </si>
  <si>
    <t>Przyrostowy ROIC w prognozie ≥ WACC (capex „kupuje” prognozowany wzrost; scenariusz bazowy)</t>
  </si>
  <si>
    <t>Wartość końcowa Gordona zbliżona do mnożnika kontrolnego (różnica do 30%, scenariusz bazowy)</t>
  </si>
  <si>
    <t>Stan modelu</t>
  </si>
</sst>
</file>

<file path=xl/styles.xml><?xml version="1.0" encoding="utf-8"?>
<styleSheet xmlns="http://schemas.openxmlformats.org/spreadsheetml/2006/main">
  <numFmts count="10">
    <numFmt numFmtId="164" formatCode="yyyy-mm-dd"/>
    <numFmt numFmtId="165" formatCode="#,##0.00"/>
    <numFmt numFmtId="166" formatCode="0.0%"/>
    <numFmt numFmtId="167" formatCode="0.00%"/>
    <numFmt numFmtId="168" formatCode="#,##0.0"/>
    <numFmt numFmtId="169" formatCode="#,##0"/>
    <numFmt numFmtId="170" formatCode="0.0&quot;x&quot;"/>
    <numFmt numFmtId="171" formatCode="+0.0%;-0.0%;0.0%"/>
    <numFmt numFmtId="172" formatCode="0.000"/>
    <numFmt numFmtId="173" formatCode="0.0000"/>
  </numFmts>
  <fonts count="12">
    <font>
      <sz val="11"/>
      <color theme="1"/>
      <name val="Calibri"/>
      <family val="2"/>
      <scheme val="minor"/>
    </font>
    <font>
      <b/>
      <sz val="16"/>
      <color rgb="FF4B3621"/>
      <name val="Calibri"/>
      <family val="2"/>
      <scheme val="minor"/>
    </font>
    <font>
      <i/>
      <sz val="11"/>
      <color rgb="FF6B6B6B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703C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703C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703C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FE6DA"/>
        <bgColor indexed="64"/>
      </patternFill>
    </fill>
    <fill>
      <patternFill patternType="solid">
        <fgColor rgb="FFFFF8DC"/>
        <bgColor indexed="64"/>
      </patternFill>
    </fill>
    <fill>
      <patternFill patternType="solid">
        <fgColor rgb="FF4B3621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E6F2E6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D9C9A3"/>
      </left>
      <right style="thin">
        <color rgb="FFD9C9A3"/>
      </right>
      <top style="thin">
        <color rgb="FFD9C9A3"/>
      </top>
      <bottom style="thin">
        <color rgb="FFD9C9A3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top" wrapText="1"/>
    </xf>
    <xf numFmtId="0" fontId="3" fillId="2" borderId="1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164" fontId="4" fillId="3" borderId="2" xfId="0" applyNumberFormat="1" applyFont="1" applyFill="1" applyBorder="1" applyAlignment="1">
      <alignment vertical="center"/>
    </xf>
    <xf numFmtId="165" fontId="4" fillId="3" borderId="2" xfId="0" applyNumberFormat="1" applyFont="1" applyFill="1" applyBorder="1" applyAlignment="1">
      <alignment vertical="center"/>
    </xf>
    <xf numFmtId="1" fontId="4" fillId="3" borderId="2" xfId="0" applyNumberFormat="1" applyFont="1" applyFill="1" applyBorder="1" applyAlignment="1">
      <alignment vertical="center"/>
    </xf>
    <xf numFmtId="166" fontId="4" fillId="3" borderId="2" xfId="0" applyNumberFormat="1" applyFont="1" applyFill="1" applyBorder="1" applyAlignment="1">
      <alignment vertical="center"/>
    </xf>
    <xf numFmtId="167" fontId="4" fillId="3" borderId="2" xfId="0" applyNumberFormat="1" applyFont="1" applyFill="1" applyBorder="1" applyAlignment="1">
      <alignment vertical="center"/>
    </xf>
    <xf numFmtId="167" fontId="0" fillId="0" borderId="0" xfId="0" applyNumberFormat="1" applyAlignment="1">
      <alignment vertical="center"/>
    </xf>
    <xf numFmtId="168" fontId="4" fillId="3" borderId="2" xfId="0" applyNumberFormat="1" applyFont="1" applyFill="1" applyBorder="1" applyAlignment="1">
      <alignment vertical="center"/>
    </xf>
    <xf numFmtId="168" fontId="0" fillId="0" borderId="0" xfId="0" applyNumberFormat="1" applyAlignment="1">
      <alignment vertical="center"/>
    </xf>
    <xf numFmtId="169" fontId="4" fillId="3" borderId="2" xfId="0" applyNumberFormat="1" applyFont="1" applyFill="1" applyBorder="1" applyAlignment="1">
      <alignment vertical="center"/>
    </xf>
    <xf numFmtId="170" fontId="4" fillId="3" borderId="2" xfId="0" applyNumberFormat="1" applyFont="1" applyFill="1" applyBorder="1" applyAlignment="1">
      <alignment vertical="center"/>
    </xf>
    <xf numFmtId="0" fontId="6" fillId="4" borderId="0" xfId="0" applyFont="1" applyFill="1" applyAlignment="1">
      <alignment horizontal="center" vertical="center"/>
    </xf>
    <xf numFmtId="1" fontId="6" fillId="4" borderId="0" xfId="0" applyNumberFormat="1" applyFont="1" applyFill="1" applyAlignment="1">
      <alignment horizontal="center" vertical="center"/>
    </xf>
    <xf numFmtId="166" fontId="7" fillId="5" borderId="0" xfId="0" applyNumberFormat="1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1" fontId="3" fillId="0" borderId="0" xfId="0" applyNumberFormat="1" applyFont="1" applyAlignment="1">
      <alignment horizontal="right" vertical="center"/>
    </xf>
    <xf numFmtId="171" fontId="4" fillId="3" borderId="2" xfId="0" applyNumberFormat="1" applyFont="1" applyFill="1" applyBorder="1" applyAlignment="1">
      <alignment vertical="center"/>
    </xf>
    <xf numFmtId="0" fontId="3" fillId="0" borderId="3" xfId="0" applyFont="1" applyBorder="1" applyAlignment="1">
      <alignment vertical="center"/>
    </xf>
    <xf numFmtId="166" fontId="3" fillId="0" borderId="3" xfId="0" applyNumberFormat="1" applyFont="1" applyBorder="1" applyAlignment="1">
      <alignment vertical="center"/>
    </xf>
    <xf numFmtId="168" fontId="4" fillId="3" borderId="2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70" fontId="0" fillId="0" borderId="0" xfId="0" applyNumberFormat="1" applyAlignment="1">
      <alignment horizontal="right" vertical="center"/>
    </xf>
    <xf numFmtId="170" fontId="4" fillId="3" borderId="2" xfId="0" applyNumberFormat="1" applyFont="1" applyFill="1" applyBorder="1" applyAlignment="1">
      <alignment horizontal="right" vertical="center"/>
    </xf>
    <xf numFmtId="166" fontId="5" fillId="0" borderId="0" xfId="0" applyNumberFormat="1" applyFont="1" applyAlignment="1">
      <alignment horizontal="right" vertical="center"/>
    </xf>
    <xf numFmtId="166" fontId="5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168" fontId="8" fillId="0" borderId="0" xfId="0" applyNumberFormat="1" applyFont="1" applyAlignment="1">
      <alignment horizontal="right" vertical="center"/>
    </xf>
    <xf numFmtId="168" fontId="3" fillId="0" borderId="0" xfId="0" applyNumberFormat="1" applyFont="1" applyAlignment="1">
      <alignment vertical="center"/>
    </xf>
    <xf numFmtId="168" fontId="5" fillId="0" borderId="0" xfId="0" applyNumberFormat="1" applyFont="1" applyAlignment="1">
      <alignment horizontal="right" vertical="center"/>
    </xf>
    <xf numFmtId="168" fontId="3" fillId="0" borderId="3" xfId="0" applyNumberFormat="1" applyFont="1" applyBorder="1" applyAlignment="1">
      <alignment vertical="center"/>
    </xf>
    <xf numFmtId="167" fontId="5" fillId="0" borderId="0" xfId="0" applyNumberFormat="1" applyFont="1" applyAlignment="1">
      <alignment vertical="center"/>
    </xf>
    <xf numFmtId="171" fontId="5" fillId="0" borderId="0" xfId="0" applyNumberFormat="1" applyFont="1" applyAlignment="1">
      <alignment vertical="center"/>
    </xf>
    <xf numFmtId="167" fontId="3" fillId="0" borderId="3" xfId="0" applyNumberFormat="1" applyFont="1" applyBorder="1" applyAlignment="1">
      <alignment vertical="center"/>
    </xf>
    <xf numFmtId="167" fontId="8" fillId="0" borderId="0" xfId="0" applyNumberFormat="1" applyFont="1" applyAlignment="1">
      <alignment vertical="center"/>
    </xf>
    <xf numFmtId="172" fontId="0" fillId="0" borderId="0" xfId="0" applyNumberFormat="1" applyAlignment="1">
      <alignment vertical="center"/>
    </xf>
    <xf numFmtId="173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170" fontId="0" fillId="0" borderId="0" xfId="0" applyNumberFormat="1" applyAlignment="1">
      <alignment vertical="center"/>
    </xf>
    <xf numFmtId="170" fontId="5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165" fontId="3" fillId="6" borderId="3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167" fontId="3" fillId="0" borderId="3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167" fontId="6" fillId="4" borderId="0" xfId="0" applyNumberFormat="1" applyFont="1" applyFill="1" applyAlignment="1">
      <alignment horizontal="center" vertical="center"/>
    </xf>
    <xf numFmtId="165" fontId="9" fillId="7" borderId="0" xfId="0" applyNumberFormat="1" applyFont="1" applyFill="1" applyAlignment="1">
      <alignment vertical="center"/>
    </xf>
    <xf numFmtId="165" fontId="3" fillId="6" borderId="0" xfId="0" applyNumberFormat="1" applyFont="1" applyFill="1" applyAlignment="1">
      <alignment vertical="center"/>
    </xf>
    <xf numFmtId="171" fontId="6" fillId="4" borderId="0" xfId="0" applyNumberFormat="1" applyFont="1" applyFill="1" applyAlignment="1">
      <alignment horizontal="center" vertical="center"/>
    </xf>
    <xf numFmtId="167" fontId="0" fillId="0" borderId="0" xfId="0" applyNumberFormat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166" fontId="11" fillId="0" borderId="0" xfId="0" applyNumberFormat="1" applyFont="1" applyAlignment="1">
      <alignment horizontal="right" vertical="center"/>
    </xf>
    <xf numFmtId="167" fontId="11" fillId="0" borderId="0" xfId="0" applyNumberFormat="1" applyFont="1" applyAlignment="1">
      <alignment horizontal="right" vertical="center"/>
    </xf>
    <xf numFmtId="168" fontId="11" fillId="0" borderId="0" xfId="0" applyNumberFormat="1" applyFont="1" applyAlignment="1">
      <alignment horizontal="right" vertical="center"/>
    </xf>
    <xf numFmtId="168" fontId="9" fillId="7" borderId="0" xfId="0" applyNumberFormat="1" applyFont="1" applyFill="1" applyAlignment="1">
      <alignment vertical="center"/>
    </xf>
    <xf numFmtId="165" fontId="8" fillId="0" borderId="0" xfId="0" applyNumberFormat="1" applyFont="1" applyAlignment="1">
      <alignment horizontal="right" vertical="center"/>
    </xf>
    <xf numFmtId="170" fontId="11" fillId="0" borderId="0" xfId="0" applyNumberFormat="1" applyFont="1" applyAlignment="1">
      <alignment horizontal="right" vertical="center"/>
    </xf>
    <xf numFmtId="167" fontId="8" fillId="0" borderId="0" xfId="0" applyNumberFormat="1" applyFont="1" applyAlignment="1">
      <alignment horizontal="right" vertical="center"/>
    </xf>
    <xf numFmtId="169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Wartość na akcję wg scenariuszy a kurs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Wartość godziwa na akcję (USD)</c:v>
          </c:tx>
          <c:spPr>
            <a:solidFill>
              <a:srgbClr val="4B3621"/>
            </a:solidFill>
          </c:spPr>
          <c:dLbls>
            <c:numFmt formatCode="0.0" sourceLinked="0"/>
            <c:showVal val="1"/>
          </c:dLbls>
          <c:cat>
            <c:strRef>
              <c:f>Wynik!$B$5:$E$5</c:f>
              <c:strCache>
                <c:ptCount val="4"/>
                <c:pt idx="0">
                  <c:v>Pesymistyczny</c:v>
                </c:pt>
                <c:pt idx="1">
                  <c:v>Bazowy</c:v>
                </c:pt>
                <c:pt idx="2">
                  <c:v>Optymistyczny</c:v>
                </c:pt>
                <c:pt idx="3">
                  <c:v>Średnia ważona</c:v>
                </c:pt>
              </c:strCache>
            </c:strRef>
          </c:cat>
          <c:val>
            <c:numRef>
              <c:f>Wynik!$B$12:$E$12</c:f>
              <c:numCache>
                <c:formatCode>General</c:formatCode>
                <c:ptCount val="4"/>
                <c:pt idx="0">
                  <c:v>88.71358137844743</c:v>
                </c:pt>
                <c:pt idx="1">
                  <c:v>162.69812309267252</c:v>
                </c:pt>
                <c:pt idx="2">
                  <c:v>233.3066944768171</c:v>
                </c:pt>
                <c:pt idx="3">
                  <c:v>161.8541305101524</c:v>
                </c:pt>
              </c:numCache>
            </c:numRef>
          </c:val>
        </c:ser>
        <c:axId val="50010001"/>
        <c:axId val="50010002"/>
      </c:barChart>
      <c:lineChart>
        <c:grouping val="standard"/>
        <c:ser>
          <c:idx val="1"/>
          <c:order val="1"/>
          <c:tx>
            <c:v>Kurs akcji (USD)</c:v>
          </c:tx>
          <c:spPr>
            <a:ln w="25400">
              <a:solidFill>
                <a:srgbClr val="C0392B"/>
              </a:solidFill>
              <a:prstDash val="dash"/>
            </a:ln>
          </c:spPr>
          <c:marker>
            <c:symbol val="none"/>
          </c:marker>
          <c:cat>
            <c:strRef>
              <c:f>Wynik!$B$5:$E$5</c:f>
              <c:strCache>
                <c:ptCount val="4"/>
                <c:pt idx="0">
                  <c:v>Pesymistyczny</c:v>
                </c:pt>
                <c:pt idx="1">
                  <c:v>Bazowy</c:v>
                </c:pt>
                <c:pt idx="2">
                  <c:v>Optymistyczny</c:v>
                </c:pt>
                <c:pt idx="3">
                  <c:v>Średnia ważona</c:v>
                </c:pt>
              </c:strCache>
            </c:strRef>
          </c:cat>
          <c:val>
            <c:numRef>
              <c:f>Wynik!$B$19:$E$19</c:f>
              <c:numCache>
                <c:formatCode>General</c:formatCode>
                <c:ptCount val="4"/>
                <c:pt idx="0">
                  <c:v>137.87</c:v>
                </c:pt>
                <c:pt idx="1">
                  <c:v>137.87</c:v>
                </c:pt>
                <c:pt idx="2">
                  <c:v>137.87</c:v>
                </c:pt>
                <c:pt idx="3">
                  <c:v>137.87</c:v>
                </c:pt>
              </c:numCache>
            </c:numRef>
          </c:val>
        </c:ser>
        <c:marker val="1"/>
        <c:axId val="50010001"/>
        <c:axId val="50010002"/>
      </c:lineChart>
      <c:catAx>
        <c:axId val="50010001"/>
        <c:scaling>
          <c:orientation val="minMax"/>
        </c:scaling>
        <c:axPos val="b"/>
        <c:tickLblPos val="nextTo"/>
        <c:crossAx val="50010002"/>
        <c:crosses val="autoZero"/>
        <c:auto val="1"/>
        <c:lblAlgn val="ctr"/>
        <c:lblOffset val="100"/>
      </c:catAx>
      <c:valAx>
        <c:axId val="50010002"/>
        <c:scaling>
          <c:orientation val="minMax"/>
          <c:min val="0"/>
        </c:scaling>
        <c:axPos val="l"/>
        <c:majorGridlines/>
        <c:numFmt formatCode="0" sourceLinked="0"/>
        <c:tickLblPos val="nextTo"/>
        <c:crossAx val="50010001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9</xdr:col>
      <xdr:colOff>66675</xdr:colOff>
      <xdr:row>21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B18"/>
  <sheetViews>
    <sheetView showGridLines="0" tabSelected="1" workbookViewId="0"/>
  </sheetViews>
  <sheetFormatPr defaultRowHeight="15"/>
  <cols>
    <col min="1" max="1" width="3.7109375" customWidth="1"/>
    <col min="2" max="2" width="120.7109375" customWidth="1"/>
  </cols>
  <sheetData>
    <row r="1" spans="2:2">
      <c r="B1" s="1" t="s">
        <v>0</v>
      </c>
    </row>
    <row r="2" spans="2:2">
      <c r="B2" s="2" t="s">
        <v>1</v>
      </c>
    </row>
    <row r="4" spans="2:2">
      <c r="B4" s="3" t="s">
        <v>2</v>
      </c>
    </row>
    <row r="5" spans="2:2">
      <c r="B5" s="4" t="s">
        <v>3</v>
      </c>
    </row>
    <row r="6" spans="2:2">
      <c r="B6" s="5" t="s">
        <v>4</v>
      </c>
    </row>
    <row r="7" spans="2:2">
      <c r="B7" s="6" t="s">
        <v>5</v>
      </c>
    </row>
    <row r="8" spans="2:2">
      <c r="B8" s="3" t="s">
        <v>6</v>
      </c>
    </row>
    <row r="9" spans="2:2">
      <c r="B9" s="5" t="s">
        <v>7</v>
      </c>
    </row>
    <row r="10" spans="2:2">
      <c r="B10" s="5" t="s">
        <v>8</v>
      </c>
    </row>
    <row r="11" spans="2:2">
      <c r="B11" s="5" t="s">
        <v>9</v>
      </c>
    </row>
    <row r="12" spans="2:2">
      <c r="B12" s="5" t="s">
        <v>10</v>
      </c>
    </row>
    <row r="13" spans="2:2">
      <c r="B13" s="5" t="s">
        <v>11</v>
      </c>
    </row>
    <row r="14" spans="2:2">
      <c r="B14" s="3" t="s">
        <v>12</v>
      </c>
    </row>
    <row r="15" spans="2:2">
      <c r="B15" s="5" t="s">
        <v>13</v>
      </c>
    </row>
    <row r="16" spans="2:2">
      <c r="B16" s="3" t="s">
        <v>14</v>
      </c>
    </row>
    <row r="17" spans="2:2">
      <c r="B17" s="5" t="s">
        <v>15</v>
      </c>
    </row>
    <row r="18" spans="2:2">
      <c r="B18" s="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0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5"/>
  <cols>
    <col min="1" max="1" width="52.7109375" customWidth="1"/>
    <col min="2" max="2" width="16.7109375" customWidth="1"/>
    <col min="3" max="12" width="10.7109375" customWidth="1"/>
    <col min="13" max="13" width="70.7109375" customWidth="1"/>
  </cols>
  <sheetData>
    <row r="1" spans="1:13">
      <c r="A1" s="1" t="s">
        <v>17</v>
      </c>
    </row>
    <row r="2" spans="1:13">
      <c r="A2" s="2" t="s">
        <v>18</v>
      </c>
    </row>
    <row r="4" spans="1:13">
      <c r="A4" s="3" t="s">
        <v>19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>
      <c r="A5" s="7" t="s">
        <v>20</v>
      </c>
      <c r="B5" s="4" t="s">
        <v>21</v>
      </c>
    </row>
    <row r="6" spans="1:13">
      <c r="A6" s="7" t="s">
        <v>22</v>
      </c>
      <c r="B6" s="4" t="s">
        <v>23</v>
      </c>
    </row>
    <row r="7" spans="1:13">
      <c r="A7" s="7" t="s">
        <v>24</v>
      </c>
      <c r="B7" s="4" t="s">
        <v>25</v>
      </c>
      <c r="M7" s="2" t="s">
        <v>26</v>
      </c>
    </row>
    <row r="8" spans="1:13">
      <c r="A8" s="7" t="s">
        <v>27</v>
      </c>
      <c r="B8" s="8">
        <v>46302</v>
      </c>
      <c r="M8" s="2" t="s">
        <v>28</v>
      </c>
    </row>
    <row r="9" spans="1:13">
      <c r="A9" s="7" t="s">
        <v>29</v>
      </c>
      <c r="B9" s="9">
        <v>137.87</v>
      </c>
      <c r="M9" s="2" t="s">
        <v>30</v>
      </c>
    </row>
    <row r="10" spans="1:13">
      <c r="A10" s="7" t="s">
        <v>31</v>
      </c>
      <c r="B10" s="9">
        <v>1034</v>
      </c>
    </row>
    <row r="11" spans="1:13">
      <c r="A11" s="7" t="s">
        <v>32</v>
      </c>
      <c r="B11" s="10">
        <v>2026</v>
      </c>
      <c r="M11" s="2" t="s">
        <v>33</v>
      </c>
    </row>
    <row r="12" spans="1:13">
      <c r="A12" s="7" t="s">
        <v>34</v>
      </c>
      <c r="B12" s="11">
        <v>0.21</v>
      </c>
      <c r="M12" s="2" t="s">
        <v>35</v>
      </c>
    </row>
    <row r="14" spans="1:13">
      <c r="A14" s="3" t="s">
        <v>36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>
      <c r="A15" s="7" t="s">
        <v>37</v>
      </c>
      <c r="B15" s="12">
        <v>0.0529</v>
      </c>
      <c r="M15" s="2" t="s">
        <v>38</v>
      </c>
    </row>
    <row r="16" spans="1:13">
      <c r="A16" s="7" t="s">
        <v>39</v>
      </c>
      <c r="B16" s="12">
        <v>0.0416</v>
      </c>
      <c r="M16" s="2" t="s">
        <v>40</v>
      </c>
    </row>
    <row r="17" spans="1:13">
      <c r="A17" s="7" t="s">
        <v>41</v>
      </c>
      <c r="B17" s="9">
        <v>1.07</v>
      </c>
      <c r="M17" s="2" t="s">
        <v>42</v>
      </c>
    </row>
    <row r="18" spans="1:13">
      <c r="A18" s="7" t="s">
        <v>43</v>
      </c>
      <c r="B18" s="12">
        <v>0</v>
      </c>
      <c r="M18" s="2" t="s">
        <v>44</v>
      </c>
    </row>
    <row r="19" spans="1:13">
      <c r="A19" s="7" t="s">
        <v>45</v>
      </c>
      <c r="B19" s="13">
        <f>$B$15+$B$17*$B$16+$B$18</f>
        <v>0.097412</v>
      </c>
      <c r="M19" s="2" t="s">
        <v>46</v>
      </c>
    </row>
    <row r="20" spans="1:13">
      <c r="A20" s="7" t="s">
        <v>47</v>
      </c>
      <c r="B20" s="13">
        <f>$B$15+$B$16</f>
        <v>0.0945</v>
      </c>
      <c r="M20" s="2" t="s">
        <v>48</v>
      </c>
    </row>
    <row r="21" spans="1:13">
      <c r="A21" s="7" t="s">
        <v>49</v>
      </c>
      <c r="B21" s="12">
        <v>0.063</v>
      </c>
    </row>
    <row r="22" spans="1:13">
      <c r="A22" s="7" t="s">
        <v>50</v>
      </c>
      <c r="B22" s="13">
        <f>$B$21*(1-$B$12)</f>
        <v>0.04977</v>
      </c>
    </row>
    <row r="23" spans="1:13">
      <c r="A23" s="7" t="s">
        <v>51</v>
      </c>
      <c r="B23" s="11">
        <v>0.05</v>
      </c>
      <c r="M23" s="2" t="s">
        <v>52</v>
      </c>
    </row>
    <row r="24" spans="1:13">
      <c r="A24" s="7" t="s">
        <v>53</v>
      </c>
      <c r="B24" s="13">
        <f>(1-$B$23)*$B$19+$B$23*$B$22</f>
        <v>0.0950299</v>
      </c>
      <c r="M24" s="2" t="s">
        <v>54</v>
      </c>
    </row>
    <row r="26" spans="1:13">
      <c r="A26" s="3" t="s">
        <v>55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7" t="s">
        <v>56</v>
      </c>
      <c r="B27" s="14">
        <v>810</v>
      </c>
      <c r="M27" s="2" t="s">
        <v>57</v>
      </c>
    </row>
    <row r="28" spans="1:13">
      <c r="A28" s="7" t="s">
        <v>58</v>
      </c>
      <c r="B28" s="14">
        <v>0</v>
      </c>
      <c r="M28" s="2" t="s">
        <v>59</v>
      </c>
    </row>
    <row r="29" spans="1:13">
      <c r="A29" s="7" t="s">
        <v>60</v>
      </c>
      <c r="B29" s="14">
        <v>0</v>
      </c>
      <c r="M29" s="2" t="s">
        <v>61</v>
      </c>
    </row>
    <row r="30" spans="1:13">
      <c r="A30" s="7" t="s">
        <v>62</v>
      </c>
      <c r="B30" s="14">
        <v>0</v>
      </c>
    </row>
    <row r="31" spans="1:13">
      <c r="A31" s="7" t="s">
        <v>63</v>
      </c>
      <c r="B31" s="14">
        <v>0</v>
      </c>
      <c r="M31" s="2" t="s">
        <v>64</v>
      </c>
    </row>
    <row r="32" spans="1:13">
      <c r="A32" s="7" t="s">
        <v>65</v>
      </c>
      <c r="B32" s="15">
        <f>$B$27+$B$28+$B$29+$B$30-$B$31</f>
        <v>810.0</v>
      </c>
    </row>
    <row r="34" spans="1:13">
      <c r="A34" s="3" t="s">
        <v>66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>
      <c r="A35" s="7" t="s">
        <v>67</v>
      </c>
      <c r="B35" s="11">
        <v>-0.15</v>
      </c>
      <c r="M35" s="2" t="s">
        <v>68</v>
      </c>
    </row>
    <row r="36" spans="1:13">
      <c r="A36" s="7" t="s">
        <v>69</v>
      </c>
      <c r="B36" s="9">
        <v>1.1</v>
      </c>
      <c r="M36" s="2" t="s">
        <v>70</v>
      </c>
    </row>
    <row r="37" spans="1:13">
      <c r="A37" s="7" t="s">
        <v>71</v>
      </c>
      <c r="B37" s="11">
        <v>0.05</v>
      </c>
      <c r="M37" s="2" t="s">
        <v>72</v>
      </c>
    </row>
    <row r="38" spans="1:13">
      <c r="A38" s="7" t="s">
        <v>73</v>
      </c>
      <c r="B38" s="16">
        <v>1</v>
      </c>
    </row>
    <row r="39" spans="1:13">
      <c r="A39" s="7" t="s">
        <v>74</v>
      </c>
      <c r="B39" s="17">
        <v>15</v>
      </c>
      <c r="M39" s="2" t="s">
        <v>75</v>
      </c>
    </row>
    <row r="40" spans="1:13">
      <c r="A40" s="7" t="s">
        <v>76</v>
      </c>
      <c r="B40" s="11">
        <v>0.8</v>
      </c>
    </row>
    <row r="41" spans="1:13">
      <c r="A41" s="7" t="s">
        <v>77</v>
      </c>
      <c r="B41" s="12">
        <v>0.005</v>
      </c>
    </row>
    <row r="42" spans="1:13">
      <c r="A42" s="7" t="s">
        <v>78</v>
      </c>
      <c r="B42" s="12">
        <v>0.005</v>
      </c>
    </row>
    <row r="43" spans="1:13">
      <c r="A43" s="7" t="s">
        <v>79</v>
      </c>
      <c r="B43" s="12">
        <v>0.01</v>
      </c>
    </row>
    <row r="45" spans="1:13">
      <c r="A45" s="3" t="s">
        <v>80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>
      <c r="A46" s="18" t="s">
        <v>81</v>
      </c>
      <c r="B46" s="18"/>
      <c r="C46" s="19">
        <f>$B$11+0</f>
        <v>2026.0</v>
      </c>
      <c r="D46" s="19">
        <f>$B$11+1</f>
        <v>2027.0</v>
      </c>
      <c r="E46" s="19">
        <f>$B$11+2</f>
        <v>2028.0</v>
      </c>
      <c r="F46" s="19">
        <f>$B$11+3</f>
        <v>2029.0</v>
      </c>
      <c r="G46" s="19">
        <f>$B$11+4</f>
        <v>2030.0</v>
      </c>
      <c r="H46" s="19">
        <f>$B$11+5</f>
        <v>2031.0</v>
      </c>
      <c r="I46" s="19">
        <f>$B$11+6</f>
        <v>2032.0</v>
      </c>
      <c r="J46" s="19">
        <f>$B$11+7</f>
        <v>2033.0</v>
      </c>
      <c r="K46" s="19">
        <f>$B$11+8</f>
        <v>2034.0</v>
      </c>
      <c r="L46" s="19">
        <f>$B$11+9</f>
        <v>2035.0</v>
      </c>
      <c r="M46" s="2" t="s">
        <v>82</v>
      </c>
    </row>
    <row r="47" spans="1:13">
      <c r="A47" s="7" t="s">
        <v>83</v>
      </c>
      <c r="C47" s="11">
        <v>0.055</v>
      </c>
      <c r="D47" s="11">
        <v>0.055</v>
      </c>
      <c r="E47" s="11">
        <v>0.055</v>
      </c>
      <c r="F47" s="11">
        <v>0.055</v>
      </c>
      <c r="G47" s="11">
        <v>0.055</v>
      </c>
      <c r="H47" s="20">
        <f>$G47+($B$37-$G47)*1/5</f>
        <v>0.054</v>
      </c>
      <c r="I47" s="20">
        <f>$G47+($B$37-$G47)*2/5</f>
        <v>0.053</v>
      </c>
      <c r="J47" s="20">
        <f>$G47+($B$37-$G47)*3/5</f>
        <v>0.052000000000000005</v>
      </c>
      <c r="K47" s="20">
        <f>$G47+($B$37-$G47)*4/5</f>
        <v>0.051000000000000004</v>
      </c>
      <c r="L47" s="20">
        <f>$G47+($B$37-$G47)*5/5</f>
        <v>0.05</v>
      </c>
      <c r="M47" s="2" t="s">
        <v>84</v>
      </c>
    </row>
    <row r="48" spans="1:13">
      <c r="A48" s="7" t="s">
        <v>85</v>
      </c>
      <c r="C48" s="11">
        <v>0.06</v>
      </c>
      <c r="D48" s="11">
        <v>0.058</v>
      </c>
      <c r="E48" s="11">
        <v>0.056</v>
      </c>
      <c r="F48" s="11">
        <v>0.054</v>
      </c>
      <c r="G48" s="11">
        <v>0.052</v>
      </c>
      <c r="H48" s="20">
        <f>$G48+($B$36*$B$37-$G48)*1/5</f>
        <v>0.0526</v>
      </c>
      <c r="I48" s="20">
        <f>$G48+($B$36*$B$37-$G48)*2/5</f>
        <v>0.053200000000000004</v>
      </c>
      <c r="J48" s="20">
        <f>$G48+($B$36*$B$37-$G48)*3/5</f>
        <v>0.0538</v>
      </c>
      <c r="K48" s="20">
        <f>$G48+($B$36*$B$37-$G48)*4/5</f>
        <v>0.054400000000000004</v>
      </c>
      <c r="L48" s="20">
        <f>$G48+($B$36*$B$37-$G48)*5/5</f>
        <v>0.05500000000000001</v>
      </c>
      <c r="M48" s="2" t="s">
        <v>86</v>
      </c>
    </row>
    <row r="49" spans="1:13">
      <c r="A49" s="7" t="s">
        <v>87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20">
        <f>$G49+(0-$G49)*1/5</f>
        <v>0.0</v>
      </c>
      <c r="I49" s="20">
        <f>$G49+(0-$G49)*2/5</f>
        <v>0.0</v>
      </c>
      <c r="J49" s="20">
        <f>$G49+(0-$G49)*3/5</f>
        <v>0.0</v>
      </c>
      <c r="K49" s="20">
        <f>$G49+(0-$G49)*4/5</f>
        <v>0.0</v>
      </c>
      <c r="L49" s="20">
        <f>$G49+(0-$G49)*5/5</f>
        <v>0.0</v>
      </c>
      <c r="M49" s="2" t="s">
        <v>88</v>
      </c>
    </row>
    <row r="50" spans="1:13">
      <c r="A50" s="7" t="s">
        <v>89</v>
      </c>
      <c r="C50" s="11">
        <v>0.21</v>
      </c>
      <c r="D50" s="11">
        <v>0.21</v>
      </c>
      <c r="E50" s="11">
        <v>0.21</v>
      </c>
      <c r="F50" s="11">
        <v>0.21</v>
      </c>
      <c r="G50" s="11">
        <v>0.21</v>
      </c>
      <c r="H50" s="20">
        <f>$G50+($B$12-$G50)*1/5</f>
        <v>0.21</v>
      </c>
      <c r="I50" s="20">
        <f>$G50+($B$12-$G50)*2/5</f>
        <v>0.21</v>
      </c>
      <c r="J50" s="20">
        <f>$G50+($B$12-$G50)*3/5</f>
        <v>0.21</v>
      </c>
      <c r="K50" s="20">
        <f>$G50+($B$12-$G50)*4/5</f>
        <v>0.21</v>
      </c>
      <c r="L50" s="20">
        <f>$G50+($B$12-$G50)*5/5</f>
        <v>0.21</v>
      </c>
      <c r="M50" s="2" t="s">
        <v>90</v>
      </c>
    </row>
    <row r="52" spans="1:13">
      <c r="A52" s="3" t="s">
        <v>91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>
      <c r="A53" s="21" t="s">
        <v>92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</row>
    <row r="54" spans="1:13">
      <c r="A54" s="7" t="s">
        <v>81</v>
      </c>
      <c r="C54" s="22">
        <f>C$46</f>
        <v>2026.0</v>
      </c>
      <c r="D54" s="22">
        <f>D$46</f>
        <v>2027.0</v>
      </c>
      <c r="E54" s="22">
        <f>E$46</f>
        <v>2028.0</v>
      </c>
      <c r="F54" s="22">
        <f>F$46</f>
        <v>2029.0</v>
      </c>
      <c r="G54" s="22">
        <f>G$46</f>
        <v>2030.0</v>
      </c>
      <c r="H54" s="22">
        <f>H$46</f>
        <v>2031.0</v>
      </c>
      <c r="I54" s="22">
        <f>I$46</f>
        <v>2032.0</v>
      </c>
      <c r="J54" s="22">
        <f>J$46</f>
        <v>2033.0</v>
      </c>
      <c r="K54" s="22">
        <f>K$46</f>
        <v>2034.0</v>
      </c>
      <c r="L54" s="22">
        <f>L$46</f>
        <v>2035.0</v>
      </c>
    </row>
    <row r="55" spans="1:13">
      <c r="A55" s="7" t="s">
        <v>93</v>
      </c>
      <c r="C55" s="11">
        <v>0.21</v>
      </c>
      <c r="D55" s="11">
        <v>0.17</v>
      </c>
      <c r="E55" s="11">
        <v>0.14</v>
      </c>
      <c r="F55" s="11">
        <v>0.12</v>
      </c>
      <c r="G55" s="11">
        <v>0.1</v>
      </c>
      <c r="H55" s="20">
        <f>$G55+($B$59-$G55)*1/5</f>
        <v>0.08700000000000001</v>
      </c>
      <c r="I55" s="20">
        <f>$G55+($B$59-$G55)*2/5</f>
        <v>0.07400000000000001</v>
      </c>
      <c r="J55" s="20">
        <f>$G55+($B$59-$G55)*3/5</f>
        <v>0.061000000000000006</v>
      </c>
      <c r="K55" s="20">
        <f>$G55+($B$59-$G55)*4/5</f>
        <v>0.048</v>
      </c>
      <c r="L55" s="20">
        <f>$G55+($B$59-$G55)*5/5</f>
        <v>0.035</v>
      </c>
      <c r="M55" s="2" t="s">
        <v>95</v>
      </c>
    </row>
    <row r="56" spans="1:13">
      <c r="A56" s="7" t="s">
        <v>94</v>
      </c>
      <c r="C56" s="11">
        <v>0.365</v>
      </c>
      <c r="D56" s="11">
        <v>0.36</v>
      </c>
      <c r="E56" s="11">
        <v>0.355</v>
      </c>
      <c r="F56" s="11">
        <v>0.355</v>
      </c>
      <c r="G56" s="11">
        <v>0.355</v>
      </c>
      <c r="H56" s="20">
        <f>$G56+($B$57-$G56)*1/5</f>
        <v>0.355</v>
      </c>
      <c r="I56" s="20">
        <f>$G56+($B$57-$G56)*2/5</f>
        <v>0.355</v>
      </c>
      <c r="J56" s="20">
        <f>$G56+($B$57-$G56)*3/5</f>
        <v>0.355</v>
      </c>
      <c r="K56" s="20">
        <f>$G56+($B$57-$G56)*4/5</f>
        <v>0.355</v>
      </c>
      <c r="L56" s="20">
        <f>$G56+($B$57-$G56)*5/5</f>
        <v>0.355</v>
      </c>
    </row>
    <row r="57" spans="1:13">
      <c r="A57" s="7" t="s">
        <v>96</v>
      </c>
      <c r="B57" s="11">
        <v>0.355</v>
      </c>
      <c r="M57" s="2" t="s">
        <v>97</v>
      </c>
    </row>
    <row r="58" spans="1:13">
      <c r="A58" s="7" t="s">
        <v>98</v>
      </c>
      <c r="B58" s="23">
        <v>0.01</v>
      </c>
    </row>
    <row r="59" spans="1:13">
      <c r="A59" s="7" t="s">
        <v>99</v>
      </c>
      <c r="B59" s="12">
        <v>0.035</v>
      </c>
      <c r="M59" s="2" t="s">
        <v>100</v>
      </c>
    </row>
    <row r="60" spans="1:13">
      <c r="A60" s="7" t="s">
        <v>101</v>
      </c>
      <c r="B60" s="11">
        <v>0.25</v>
      </c>
    </row>
    <row r="62" spans="1:13">
      <c r="A62" s="21" t="s">
        <v>102</v>
      </c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</row>
    <row r="63" spans="1:13">
      <c r="A63" s="7" t="s">
        <v>81</v>
      </c>
      <c r="C63" s="22">
        <f>C$46</f>
        <v>2026.0</v>
      </c>
      <c r="D63" s="22">
        <f>D$46</f>
        <v>2027.0</v>
      </c>
      <c r="E63" s="22">
        <f>E$46</f>
        <v>2028.0</v>
      </c>
      <c r="F63" s="22">
        <f>F$46</f>
        <v>2029.0</v>
      </c>
      <c r="G63" s="22">
        <f>G$46</f>
        <v>2030.0</v>
      </c>
      <c r="H63" s="22">
        <f>H$46</f>
        <v>2031.0</v>
      </c>
      <c r="I63" s="22">
        <f>I$46</f>
        <v>2032.0</v>
      </c>
      <c r="J63" s="22">
        <f>J$46</f>
        <v>2033.0</v>
      </c>
      <c r="K63" s="22">
        <f>K$46</f>
        <v>2034.0</v>
      </c>
      <c r="L63" s="22">
        <f>L$46</f>
        <v>2035.0</v>
      </c>
    </row>
    <row r="64" spans="1:13">
      <c r="A64" s="7" t="s">
        <v>93</v>
      </c>
      <c r="C64" s="11">
        <v>0.22</v>
      </c>
      <c r="D64" s="11">
        <v>0.2</v>
      </c>
      <c r="E64" s="11">
        <v>0.18</v>
      </c>
      <c r="F64" s="11">
        <v>0.17</v>
      </c>
      <c r="G64" s="11">
        <v>0.16</v>
      </c>
      <c r="H64" s="20">
        <f>$G64+($B$68-$G64)*1/5</f>
        <v>0.136</v>
      </c>
      <c r="I64" s="20">
        <f>$G64+($B$68-$G64)*2/5</f>
        <v>0.112</v>
      </c>
      <c r="J64" s="20">
        <f>$G64+($B$68-$G64)*3/5</f>
        <v>0.08800000000000001</v>
      </c>
      <c r="K64" s="20">
        <f>$G64+($B$68-$G64)*4/5</f>
        <v>0.064</v>
      </c>
      <c r="L64" s="20">
        <f>$G64+($B$68-$G64)*5/5</f>
        <v>0.04000000000000001</v>
      </c>
      <c r="M64" s="2" t="s">
        <v>95</v>
      </c>
    </row>
    <row r="65" spans="1:13">
      <c r="A65" s="7" t="s">
        <v>94</v>
      </c>
      <c r="C65" s="11">
        <v>0.375</v>
      </c>
      <c r="D65" s="11">
        <v>0.381</v>
      </c>
      <c r="E65" s="11">
        <v>0.388</v>
      </c>
      <c r="F65" s="11">
        <v>0.394</v>
      </c>
      <c r="G65" s="11">
        <v>0.4</v>
      </c>
      <c r="H65" s="20">
        <f>$G65+($B$66-$G65)*1/5</f>
        <v>0.4</v>
      </c>
      <c r="I65" s="20">
        <f>$G65+($B$66-$G65)*2/5</f>
        <v>0.4</v>
      </c>
      <c r="J65" s="20">
        <f>$G65+($B$66-$G65)*3/5</f>
        <v>0.4</v>
      </c>
      <c r="K65" s="20">
        <f>$G65+($B$66-$G65)*4/5</f>
        <v>0.4</v>
      </c>
      <c r="L65" s="20">
        <f>$G65+($B$66-$G65)*5/5</f>
        <v>0.4</v>
      </c>
    </row>
    <row r="66" spans="1:13">
      <c r="A66" s="7" t="s">
        <v>96</v>
      </c>
      <c r="B66" s="11">
        <v>0.4</v>
      </c>
      <c r="M66" s="2" t="s">
        <v>97</v>
      </c>
    </row>
    <row r="67" spans="1:13">
      <c r="A67" s="7" t="s">
        <v>98</v>
      </c>
      <c r="B67" s="23">
        <v>0</v>
      </c>
    </row>
    <row r="68" spans="1:13">
      <c r="A68" s="7" t="s">
        <v>99</v>
      </c>
      <c r="B68" s="12">
        <v>0.04</v>
      </c>
      <c r="M68" s="2" t="s">
        <v>100</v>
      </c>
    </row>
    <row r="69" spans="1:13">
      <c r="A69" s="7" t="s">
        <v>101</v>
      </c>
      <c r="B69" s="11">
        <v>0.5</v>
      </c>
    </row>
    <row r="71" spans="1:13">
      <c r="A71" s="21" t="s">
        <v>103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</row>
    <row r="72" spans="1:13">
      <c r="A72" s="7" t="s">
        <v>81</v>
      </c>
      <c r="C72" s="22">
        <f>C$46</f>
        <v>2026.0</v>
      </c>
      <c r="D72" s="22">
        <f>D$46</f>
        <v>2027.0</v>
      </c>
      <c r="E72" s="22">
        <f>E$46</f>
        <v>2028.0</v>
      </c>
      <c r="F72" s="22">
        <f>F$46</f>
        <v>2029.0</v>
      </c>
      <c r="G72" s="22">
        <f>G$46</f>
        <v>2030.0</v>
      </c>
      <c r="H72" s="22">
        <f>H$46</f>
        <v>2031.0</v>
      </c>
      <c r="I72" s="22">
        <f>I$46</f>
        <v>2032.0</v>
      </c>
      <c r="J72" s="22">
        <f>J$46</f>
        <v>2033.0</v>
      </c>
      <c r="K72" s="22">
        <f>K$46</f>
        <v>2034.0</v>
      </c>
      <c r="L72" s="22">
        <f>L$46</f>
        <v>2035.0</v>
      </c>
    </row>
    <row r="73" spans="1:13">
      <c r="A73" s="7" t="s">
        <v>93</v>
      </c>
      <c r="C73" s="11">
        <v>0.23</v>
      </c>
      <c r="D73" s="11">
        <v>0.22</v>
      </c>
      <c r="E73" s="11">
        <v>0.2</v>
      </c>
      <c r="F73" s="11">
        <v>0.19</v>
      </c>
      <c r="G73" s="11">
        <v>0.18</v>
      </c>
      <c r="H73" s="20">
        <f>$G73+($B$77-$G73)*1/5</f>
        <v>0.153</v>
      </c>
      <c r="I73" s="20">
        <f>$G73+($B$77-$G73)*2/5</f>
        <v>0.126</v>
      </c>
      <c r="J73" s="20">
        <f>$G73+($B$77-$G73)*3/5</f>
        <v>0.09899999999999999</v>
      </c>
      <c r="K73" s="20">
        <f>$G73+($B$77-$G73)*4/5</f>
        <v>0.07199999999999998</v>
      </c>
      <c r="L73" s="20">
        <f>$G73+($B$77-$G73)*5/5</f>
        <v>0.044999999999999984</v>
      </c>
      <c r="M73" s="2" t="s">
        <v>95</v>
      </c>
    </row>
    <row r="74" spans="1:13">
      <c r="A74" s="7" t="s">
        <v>94</v>
      </c>
      <c r="C74" s="11">
        <v>0.38</v>
      </c>
      <c r="D74" s="11">
        <v>0.392</v>
      </c>
      <c r="E74" s="11">
        <v>0.404</v>
      </c>
      <c r="F74" s="11">
        <v>0.415</v>
      </c>
      <c r="G74" s="11">
        <v>0.425</v>
      </c>
      <c r="H74" s="20">
        <f>$G74+($B$75-$G74)*1/5</f>
        <v>0.425</v>
      </c>
      <c r="I74" s="20">
        <f>$G74+($B$75-$G74)*2/5</f>
        <v>0.425</v>
      </c>
      <c r="J74" s="20">
        <f>$G74+($B$75-$G74)*3/5</f>
        <v>0.425</v>
      </c>
      <c r="K74" s="20">
        <f>$G74+($B$75-$G74)*4/5</f>
        <v>0.425</v>
      </c>
      <c r="L74" s="20">
        <f>$G74+($B$75-$G74)*5/5</f>
        <v>0.425</v>
      </c>
    </row>
    <row r="75" spans="1:13">
      <c r="A75" s="7" t="s">
        <v>96</v>
      </c>
      <c r="B75" s="11">
        <v>0.425</v>
      </c>
      <c r="M75" s="2" t="s">
        <v>97</v>
      </c>
    </row>
    <row r="76" spans="1:13">
      <c r="A76" s="7" t="s">
        <v>98</v>
      </c>
      <c r="B76" s="23">
        <v>-0.005</v>
      </c>
    </row>
    <row r="77" spans="1:13">
      <c r="A77" s="7" t="s">
        <v>99</v>
      </c>
      <c r="B77" s="12">
        <v>0.045</v>
      </c>
      <c r="M77" s="2" t="s">
        <v>100</v>
      </c>
    </row>
    <row r="78" spans="1:13">
      <c r="A78" s="7" t="s">
        <v>101</v>
      </c>
      <c r="B78" s="11">
        <v>0.25</v>
      </c>
    </row>
    <row r="80" spans="1:13">
      <c r="A80" s="24" t="s">
        <v>104</v>
      </c>
      <c r="B80" s="25">
        <f>SUM(B60,B69,B78)</f>
        <v>1.0</v>
      </c>
    </row>
  </sheetData>
  <dataValidations count="1">
    <dataValidation type="list" allowBlank="1" showInputMessage="1" showErrorMessage="1" sqref="B38">
      <formula1>"0,1"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showGridLines="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5"/>
  <cols>
    <col min="1" max="1" width="40.7109375" customWidth="1"/>
    <col min="2" max="4" width="12.7109375" customWidth="1"/>
    <col min="5" max="5" width="70.7109375" customWidth="1"/>
  </cols>
  <sheetData>
    <row r="1" spans="1:5">
      <c r="A1" s="1" t="s">
        <v>105</v>
      </c>
    </row>
    <row r="2" spans="1:5">
      <c r="A2" s="2" t="s">
        <v>106</v>
      </c>
    </row>
    <row r="3" spans="1:5">
      <c r="A3" s="21" t="s">
        <v>25</v>
      </c>
      <c r="B3" s="19">
        <v>2023</v>
      </c>
      <c r="C3" s="19">
        <v>2024</v>
      </c>
      <c r="D3" s="19">
        <v>2025</v>
      </c>
      <c r="E3" s="21" t="s">
        <v>107</v>
      </c>
    </row>
    <row r="4" spans="1:5">
      <c r="A4" s="7" t="s">
        <v>108</v>
      </c>
      <c r="B4" s="26" t="s">
        <v>129</v>
      </c>
      <c r="C4" s="26">
        <v>10984</v>
      </c>
      <c r="D4" s="26">
        <v>13278</v>
      </c>
      <c r="E4" s="2" t="s">
        <v>109</v>
      </c>
    </row>
    <row r="5" spans="1:5">
      <c r="A5" s="7" t="s">
        <v>93</v>
      </c>
      <c r="B5" s="27" t="s">
        <v>129</v>
      </c>
      <c r="C5" s="28" t="str">
        <f>IF(AND(ISNUMBER(C4),ISNUMBER(B4)),C4/B4-1,"n/d")</f>
        <v>n/d</v>
      </c>
      <c r="D5" s="28">
        <f>IF(AND(ISNUMBER(D4),ISNUMBER(C4)),D4/C4-1,"n/d")</f>
        <v>0.20884923525127452</v>
      </c>
    </row>
    <row r="6" spans="1:5">
      <c r="A6" s="7" t="s">
        <v>110</v>
      </c>
      <c r="B6" s="26" t="s">
        <v>129</v>
      </c>
      <c r="C6" s="26" t="s">
        <v>129</v>
      </c>
      <c r="D6" s="26">
        <v>2562</v>
      </c>
      <c r="E6" s="2" t="s">
        <v>111</v>
      </c>
    </row>
    <row r="7" spans="1:5">
      <c r="A7" s="7" t="s">
        <v>94</v>
      </c>
      <c r="B7" s="28" t="str">
        <f>IF(AND(ISNUMBER(B6),ISNUMBER(B4)),B6/B4,"n/d")</f>
        <v>n/d</v>
      </c>
      <c r="C7" s="28" t="str">
        <f>IF(AND(ISNUMBER(C6),ISNUMBER(C4)),C6/C4,"n/d")</f>
        <v>n/d</v>
      </c>
      <c r="D7" s="28">
        <f>IF(AND(ISNUMBER(D6),ISNUMBER(D4)),D6/D4,"n/d")</f>
        <v>0.192950745594216</v>
      </c>
    </row>
    <row r="8" spans="1:5">
      <c r="A8" s="7" t="s">
        <v>112</v>
      </c>
      <c r="B8" s="26" t="s">
        <v>129</v>
      </c>
      <c r="C8" s="26" t="s">
        <v>129</v>
      </c>
      <c r="D8" s="26">
        <v>738</v>
      </c>
      <c r="E8" s="2" t="s">
        <v>113</v>
      </c>
    </row>
    <row r="9" spans="1:5">
      <c r="A9" s="7" t="s">
        <v>83</v>
      </c>
      <c r="B9" s="28" t="str">
        <f>IF(AND(ISNUMBER(B8),ISNUMBER(B4)),B8/B4,"n/d")</f>
        <v>n/d</v>
      </c>
      <c r="C9" s="28" t="str">
        <f>IF(AND(ISNUMBER(C8),ISNUMBER(C4)),C8/C4,"n/d")</f>
        <v>n/d</v>
      </c>
      <c r="D9" s="28">
        <f>IF(AND(ISNUMBER(D8),ISNUMBER(D4)),D8/D4,"n/d")</f>
        <v>0.05558065973791233</v>
      </c>
      <c r="E9" s="2" t="s">
        <v>114</v>
      </c>
    </row>
    <row r="10" spans="1:5">
      <c r="A10" s="7" t="s">
        <v>115</v>
      </c>
      <c r="B10" s="29" t="str">
        <f>IF(AND(ISNUMBER(B6),ISNUMBER(B8)),B6-B8,"n/d")</f>
        <v>n/d</v>
      </c>
      <c r="C10" s="29" t="str">
        <f>IF(AND(ISNUMBER(C6),ISNUMBER(C8)),C6-C8,"n/d")</f>
        <v>n/d</v>
      </c>
      <c r="D10" s="29">
        <f>IF(AND(ISNUMBER(D6),ISNUMBER(D8)),D6-D8,"n/d")</f>
        <v>1824.0</v>
      </c>
    </row>
    <row r="11" spans="1:5">
      <c r="A11" s="7" t="s">
        <v>116</v>
      </c>
      <c r="B11" s="26" t="s">
        <v>129</v>
      </c>
      <c r="C11" s="26">
        <v>1425</v>
      </c>
      <c r="D11" s="26">
        <v>1748</v>
      </c>
    </row>
    <row r="12" spans="1:5">
      <c r="A12" s="7" t="s">
        <v>117</v>
      </c>
      <c r="B12" s="26" t="s">
        <v>129</v>
      </c>
      <c r="C12" s="26" t="s">
        <v>129</v>
      </c>
      <c r="D12" s="26">
        <v>868</v>
      </c>
      <c r="E12" s="2" t="s">
        <v>118</v>
      </c>
    </row>
    <row r="13" spans="1:5">
      <c r="A13" s="7" t="s">
        <v>85</v>
      </c>
      <c r="B13" s="28" t="str">
        <f>IF(AND(ISNUMBER(B12),ISNUMBER(B4)),B12/B4,"n/d")</f>
        <v>n/d</v>
      </c>
      <c r="C13" s="28" t="str">
        <f>IF(AND(ISNUMBER(C12),ISNUMBER(C4)),C12/C4,"n/d")</f>
        <v>n/d</v>
      </c>
      <c r="D13" s="28">
        <f>IF(AND(ISNUMBER(D12),ISNUMBER(D4)),D12/D4,"n/d")</f>
        <v>0.06537129085705679</v>
      </c>
      <c r="E13" s="2" t="s">
        <v>119</v>
      </c>
    </row>
    <row r="14" spans="1:5">
      <c r="A14" s="7" t="s">
        <v>120</v>
      </c>
      <c r="B14" s="30" t="str">
        <f>IF(AND(ISNUMBER(B12),ISNUMBER(B8)),B12/B8,"n/d")</f>
        <v>n/d</v>
      </c>
      <c r="C14" s="30" t="str">
        <f>IF(AND(ISNUMBER(C12),ISNUMBER(C8)),C12/C8,"n/d")</f>
        <v>n/d</v>
      </c>
      <c r="D14" s="30">
        <f>IF(AND(ISNUMBER(D12),ISNUMBER(D8)),D12/D8,"n/d")</f>
        <v>1.1761517615176151</v>
      </c>
      <c r="E14" s="2" t="s">
        <v>121</v>
      </c>
    </row>
    <row r="15" spans="1:5">
      <c r="A15" s="7" t="s">
        <v>122</v>
      </c>
      <c r="B15" s="26" t="s">
        <v>129</v>
      </c>
      <c r="C15" s="26">
        <v>3455</v>
      </c>
      <c r="D15" s="26">
        <v>4636</v>
      </c>
      <c r="E15" s="2" t="s">
        <v>123</v>
      </c>
    </row>
    <row r="16" spans="1:5">
      <c r="A16" s="7" t="s">
        <v>124</v>
      </c>
      <c r="B16" s="31" t="s">
        <v>129</v>
      </c>
      <c r="C16" s="31" t="s">
        <v>129</v>
      </c>
      <c r="D16" s="31">
        <v>-3.3</v>
      </c>
    </row>
    <row r="17" spans="1:5">
      <c r="A17" s="7" t="s">
        <v>125</v>
      </c>
      <c r="B17" s="26" t="s">
        <v>129</v>
      </c>
      <c r="C17" s="26" t="s">
        <v>129</v>
      </c>
      <c r="D17" s="26" t="s">
        <v>129</v>
      </c>
      <c r="E17" s="2" t="s">
        <v>126</v>
      </c>
    </row>
    <row r="18" spans="1:5">
      <c r="A18" s="7" t="s">
        <v>127</v>
      </c>
      <c r="B18" s="28" t="str">
        <f>IF(ISNUMBER(B17),B17/B4,"n/d")</f>
        <v>n/d</v>
      </c>
      <c r="C18" s="28" t="str">
        <f>IF(ISNUMBER(C17),C17/C4,"n/d")</f>
        <v>n/d</v>
      </c>
      <c r="D18" s="28" t="str">
        <f>IF(ISNUMBER(D17),D17/D4,"n/d")</f>
        <v>n/d</v>
      </c>
      <c r="E18" s="2" t="s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30"/>
  <sheetViews>
    <sheetView showGridLine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/>
  <cols>
    <col min="1" max="1" width="54.7109375" customWidth="1"/>
    <col min="2" max="2" width="12.7109375" customWidth="1"/>
    <col min="3" max="16" width="11.7109375" customWidth="1"/>
  </cols>
  <sheetData>
    <row r="1" spans="1:16">
      <c r="A1" s="1" t="s">
        <v>130</v>
      </c>
    </row>
    <row r="2" spans="1:16">
      <c r="A2" s="2" t="str">
        <f>Zalozenia!$B$5&amp;" ("&amp;Zalozenia!$B$6&amp;"), kwoty w "&amp;Zalozenia!$B$7&amp;"; lata 1–5 z założeń, lata 6–10 wygaszanie do stanu ustalonego."</f>
        <v>ServiceNow, Inc. (NOW), kwoty w mln USD; lata 1–5 z założeń, lata 6–10 wygaszanie do stanu ustalonego.</v>
      </c>
    </row>
    <row r="3" spans="1:16">
      <c r="C3" s="2" t="s">
        <v>133</v>
      </c>
      <c r="F3" s="2" t="s">
        <v>134</v>
      </c>
      <c r="K3" s="2" t="s">
        <v>135</v>
      </c>
      <c r="P3" s="2" t="s">
        <v>136</v>
      </c>
    </row>
    <row r="4" spans="1:16">
      <c r="A4" s="21" t="s">
        <v>131</v>
      </c>
      <c r="B4" s="18"/>
      <c r="C4" s="19">
        <f>Historia!B3</f>
        <v>2023</v>
      </c>
      <c r="D4" s="19">
        <f>Historia!C3</f>
        <v>2024</v>
      </c>
      <c r="E4" s="19">
        <f>Historia!D3</f>
        <v>2025</v>
      </c>
      <c r="F4" s="19">
        <f>Zalozenia!C$46</f>
        <v>2026.0</v>
      </c>
      <c r="G4" s="19">
        <f>Zalozenia!D$46</f>
        <v>2027.0</v>
      </c>
      <c r="H4" s="19">
        <f>Zalozenia!E$46</f>
        <v>2028.0</v>
      </c>
      <c r="I4" s="19">
        <f>Zalozenia!F$46</f>
        <v>2029.0</v>
      </c>
      <c r="J4" s="19">
        <f>Zalozenia!G$46</f>
        <v>2030.0</v>
      </c>
      <c r="K4" s="19">
        <f>Zalozenia!H$46</f>
        <v>2031.0</v>
      </c>
      <c r="L4" s="19">
        <f>Zalozenia!I$46</f>
        <v>2032.0</v>
      </c>
      <c r="M4" s="19">
        <f>Zalozenia!J$46</f>
        <v>2033.0</v>
      </c>
      <c r="N4" s="19">
        <f>Zalozenia!K$46</f>
        <v>2034.0</v>
      </c>
      <c r="O4" s="19">
        <f>Zalozenia!L$46</f>
        <v>2035.0</v>
      </c>
      <c r="P4" s="18" t="s">
        <v>132</v>
      </c>
    </row>
    <row r="5" spans="1:16">
      <c r="A5" s="7" t="s">
        <v>93</v>
      </c>
      <c r="B5" s="2" t="s">
        <v>137</v>
      </c>
      <c r="D5" s="32" t="str">
        <f>Historia!C5</f>
        <v>n/d</v>
      </c>
      <c r="E5" s="32">
        <f>Historia!D5</f>
        <v>0.20884923525127452</v>
      </c>
      <c r="F5" s="33">
        <f>Zalozenia!C55</f>
        <v>0.21</v>
      </c>
      <c r="G5" s="33">
        <f>Zalozenia!D55</f>
        <v>0.17</v>
      </c>
      <c r="H5" s="33">
        <f>Zalozenia!E55</f>
        <v>0.14</v>
      </c>
      <c r="I5" s="33">
        <f>Zalozenia!F55</f>
        <v>0.12</v>
      </c>
      <c r="J5" s="33">
        <f>Zalozenia!G55</f>
        <v>0.1</v>
      </c>
      <c r="K5" s="33">
        <f>Zalozenia!H55</f>
        <v>0.08700000000000001</v>
      </c>
      <c r="L5" s="33">
        <f>Zalozenia!I55</f>
        <v>0.07400000000000001</v>
      </c>
      <c r="M5" s="33">
        <f>Zalozenia!J55</f>
        <v>0.061000000000000006</v>
      </c>
      <c r="N5" s="33">
        <f>Zalozenia!K55</f>
        <v>0.048</v>
      </c>
      <c r="O5" s="33">
        <f>Zalozenia!L55</f>
        <v>0.035</v>
      </c>
      <c r="P5" s="34">
        <f>$C$26</f>
        <v>0.035</v>
      </c>
    </row>
    <row r="6" spans="1:16">
      <c r="A6" s="35" t="s">
        <v>108</v>
      </c>
      <c r="B6" s="2" t="s">
        <v>25</v>
      </c>
      <c r="C6" s="36" t="str">
        <f>Historia!B4</f>
        <v>n/d</v>
      </c>
      <c r="D6" s="36">
        <f>Historia!C4</f>
        <v>10984</v>
      </c>
      <c r="E6" s="36">
        <f>Historia!D4</f>
        <v>13278</v>
      </c>
      <c r="F6" s="37">
        <f>E6*(1+F5)</f>
        <v>16066.38</v>
      </c>
      <c r="G6" s="37">
        <f>F6*(1+G5)</f>
        <v>18797.664599999996</v>
      </c>
      <c r="H6" s="37">
        <f>G6*(1+H5)</f>
        <v>21429.337644</v>
      </c>
      <c r="I6" s="37">
        <f>H6*(1+I5)</f>
        <v>24000.85816128</v>
      </c>
      <c r="J6" s="37">
        <f>I6*(1+J5)</f>
        <v>26400.943977408002</v>
      </c>
      <c r="K6" s="37">
        <f>J6*(1+K5)</f>
        <v>28697.826103442498</v>
      </c>
      <c r="L6" s="37">
        <f>K6*(1+L5)</f>
        <v>30821.465235097243</v>
      </c>
      <c r="M6" s="37">
        <f>L6*(1+M5)</f>
        <v>32701.574614438174</v>
      </c>
      <c r="N6" s="37">
        <f>M6*(1+N5)</f>
        <v>34271.25019593121</v>
      </c>
      <c r="O6" s="37">
        <f>N6*(1+O5)</f>
        <v>35470.7439527888</v>
      </c>
      <c r="P6" s="37">
        <f>O6*(1+P5)</f>
        <v>36712.2199911364</v>
      </c>
    </row>
    <row r="7" spans="1:16">
      <c r="A7" s="7" t="s">
        <v>94</v>
      </c>
      <c r="B7" s="2" t="s">
        <v>137</v>
      </c>
      <c r="C7" s="28" t="str">
        <f>IF(AND(ISNUMBER(C8),ISNUMBER(C6)),C8/C6,"n/d")</f>
        <v>n/d</v>
      </c>
      <c r="D7" s="28" t="str">
        <f>IF(AND(ISNUMBER(D8),ISNUMBER(D6)),D8/D6,"n/d")</f>
        <v>n/d</v>
      </c>
      <c r="E7" s="28">
        <f>IF(AND(ISNUMBER(E8),ISNUMBER(E6)),E8/E6,"n/d")</f>
        <v>0.192950745594216</v>
      </c>
      <c r="F7" s="33">
        <f>Zalozenia!C56</f>
        <v>0.365</v>
      </c>
      <c r="G7" s="33">
        <f>Zalozenia!D56</f>
        <v>0.36</v>
      </c>
      <c r="H7" s="33">
        <f>Zalozenia!E56</f>
        <v>0.355</v>
      </c>
      <c r="I7" s="33">
        <f>Zalozenia!F56</f>
        <v>0.355</v>
      </c>
      <c r="J7" s="33">
        <f>Zalozenia!G56</f>
        <v>0.355</v>
      </c>
      <c r="K7" s="33">
        <f>Zalozenia!H56</f>
        <v>0.355</v>
      </c>
      <c r="L7" s="33">
        <f>Zalozenia!I56</f>
        <v>0.355</v>
      </c>
      <c r="M7" s="33">
        <f>Zalozenia!J56</f>
        <v>0.355</v>
      </c>
      <c r="N7" s="33">
        <f>Zalozenia!K56</f>
        <v>0.355</v>
      </c>
      <c r="O7" s="33">
        <f>Zalozenia!L56</f>
        <v>0.355</v>
      </c>
      <c r="P7" s="34">
        <f>O7</f>
        <v>0.355</v>
      </c>
    </row>
    <row r="8" spans="1:16">
      <c r="A8" s="35" t="s">
        <v>110</v>
      </c>
      <c r="B8" s="2" t="s">
        <v>25</v>
      </c>
      <c r="C8" s="36" t="str">
        <f>Historia!B6</f>
        <v>n/d</v>
      </c>
      <c r="D8" s="36" t="str">
        <f>Historia!C6</f>
        <v>n/d</v>
      </c>
      <c r="E8" s="36">
        <f>Historia!D6</f>
        <v>2562</v>
      </c>
      <c r="F8" s="37">
        <f>F6*F7</f>
        <v>5864.2287</v>
      </c>
      <c r="G8" s="37">
        <f>G6*G7</f>
        <v>6767.159255999998</v>
      </c>
      <c r="H8" s="37">
        <f>H6*H7</f>
        <v>7607.41486362</v>
      </c>
      <c r="I8" s="37">
        <f>I6*I7</f>
        <v>8520.3046472544</v>
      </c>
      <c r="J8" s="37">
        <f>J6*J7</f>
        <v>9372.33511197984</v>
      </c>
      <c r="K8" s="37">
        <f>K6*K7</f>
        <v>10187.728266722086</v>
      </c>
      <c r="L8" s="37">
        <f>L6*L7</f>
        <v>10941.62015845952</v>
      </c>
      <c r="M8" s="37">
        <f>M6*M7</f>
        <v>11609.058988125551</v>
      </c>
      <c r="N8" s="37">
        <f>N6*N7</f>
        <v>12166.293819555578</v>
      </c>
      <c r="O8" s="37">
        <f>O6*O7</f>
        <v>12592.114103240023</v>
      </c>
      <c r="P8" s="37">
        <f>P6*P7</f>
        <v>13032.838096853422</v>
      </c>
    </row>
    <row r="9" spans="1:16">
      <c r="A9" s="7" t="s">
        <v>83</v>
      </c>
      <c r="B9" s="2" t="s">
        <v>137</v>
      </c>
      <c r="C9" s="28" t="str">
        <f>IF(AND(ISNUMBER(C10),ISNUMBER(C6)),C10/C6,"n/d")</f>
        <v>n/d</v>
      </c>
      <c r="D9" s="28" t="str">
        <f>IF(AND(ISNUMBER(D10),ISNUMBER(D6)),D10/D6,"n/d")</f>
        <v>n/d</v>
      </c>
      <c r="E9" s="28">
        <f>IF(AND(ISNUMBER(E10),ISNUMBER(E6)),E10/E6,"n/d")</f>
        <v>0.05558065973791233</v>
      </c>
      <c r="F9" s="33">
        <f>Zalozenia!C$47</f>
        <v>0.055</v>
      </c>
      <c r="G9" s="33">
        <f>Zalozenia!D$47</f>
        <v>0.055</v>
      </c>
      <c r="H9" s="33">
        <f>Zalozenia!E$47</f>
        <v>0.055</v>
      </c>
      <c r="I9" s="33">
        <f>Zalozenia!F$47</f>
        <v>0.055</v>
      </c>
      <c r="J9" s="33">
        <f>Zalozenia!G$47</f>
        <v>0.055</v>
      </c>
      <c r="K9" s="33">
        <f>Zalozenia!H$47</f>
        <v>0.054</v>
      </c>
      <c r="L9" s="33">
        <f>Zalozenia!I$47</f>
        <v>0.053</v>
      </c>
      <c r="M9" s="33">
        <f>Zalozenia!J$47</f>
        <v>0.052000000000000005</v>
      </c>
      <c r="N9" s="33">
        <f>Zalozenia!K$47</f>
        <v>0.051000000000000004</v>
      </c>
      <c r="O9" s="33">
        <f>Zalozenia!L$47</f>
        <v>0.05</v>
      </c>
      <c r="P9" s="33">
        <f>Zalozenia!$B$37</f>
        <v>0.05</v>
      </c>
    </row>
    <row r="10" spans="1:16">
      <c r="A10" s="7" t="s">
        <v>112</v>
      </c>
      <c r="B10" s="2" t="s">
        <v>25</v>
      </c>
      <c r="C10" s="38" t="str">
        <f>Historia!B8</f>
        <v>n/d</v>
      </c>
      <c r="D10" s="38" t="str">
        <f>Historia!C8</f>
        <v>n/d</v>
      </c>
      <c r="E10" s="38">
        <f>Historia!D8</f>
        <v>738</v>
      </c>
      <c r="F10" s="15">
        <f>F6*F9</f>
        <v>883.6509</v>
      </c>
      <c r="G10" s="15">
        <f>G6*G9</f>
        <v>1033.8715529999997</v>
      </c>
      <c r="H10" s="15">
        <f>H6*H9</f>
        <v>1178.6135704199999</v>
      </c>
      <c r="I10" s="15">
        <f>I6*I9</f>
        <v>1320.0471988704</v>
      </c>
      <c r="J10" s="15">
        <f>J6*J9</f>
        <v>1452.05191875744</v>
      </c>
      <c r="K10" s="15">
        <f>K6*K9</f>
        <v>1549.6826095858949</v>
      </c>
      <c r="L10" s="15">
        <f>L6*L9</f>
        <v>1633.537657460154</v>
      </c>
      <c r="M10" s="15">
        <f>M6*M9</f>
        <v>1700.4818799507852</v>
      </c>
      <c r="N10" s="15">
        <f>N6*N9</f>
        <v>1747.8337599924917</v>
      </c>
      <c r="O10" s="15">
        <f>O6*O9</f>
        <v>1773.53719763944</v>
      </c>
      <c r="P10" s="15">
        <f>P6*P9</f>
        <v>1835.6109995568202</v>
      </c>
    </row>
    <row r="11" spans="1:16">
      <c r="A11" s="7" t="s">
        <v>115</v>
      </c>
      <c r="B11" s="2" t="s">
        <v>25</v>
      </c>
      <c r="C11" s="29" t="str">
        <f>IF(AND(ISNUMBER(C8),ISNUMBER(C10)),C8-C10,"n/d")</f>
        <v>n/d</v>
      </c>
      <c r="D11" s="29" t="str">
        <f>IF(AND(ISNUMBER(D8),ISNUMBER(D10)),D8-D10,"n/d")</f>
        <v>n/d</v>
      </c>
      <c r="E11" s="29">
        <f>IF(AND(ISNUMBER(E8),ISNUMBER(E10)),E8-E10,"n/d")</f>
        <v>1824.0</v>
      </c>
      <c r="F11" s="15">
        <f>F8-F10</f>
        <v>4980.5778</v>
      </c>
      <c r="G11" s="15">
        <f>G8-G10</f>
        <v>5733.287702999998</v>
      </c>
      <c r="H11" s="15">
        <f>H8-H10</f>
        <v>6428.8012932</v>
      </c>
      <c r="I11" s="15">
        <f>I8-I10</f>
        <v>7200.257448383999</v>
      </c>
      <c r="J11" s="15">
        <f>J8-J10</f>
        <v>7920.283193222401</v>
      </c>
      <c r="K11" s="15">
        <f>K8-K10</f>
        <v>8638.045657136192</v>
      </c>
      <c r="L11" s="15">
        <f>L8-L10</f>
        <v>9308.082500999366</v>
      </c>
      <c r="M11" s="15">
        <f>M8-M10</f>
        <v>9908.577108174766</v>
      </c>
      <c r="N11" s="15">
        <f>N8-N10</f>
        <v>10418.460059563087</v>
      </c>
      <c r="O11" s="15">
        <f>O8-O10</f>
        <v>10818.576905600583</v>
      </c>
      <c r="P11" s="15">
        <f>P8-P10</f>
        <v>11197.227097296602</v>
      </c>
    </row>
    <row r="12" spans="1:16">
      <c r="A12" s="7" t="s">
        <v>89</v>
      </c>
      <c r="B12" s="2" t="s">
        <v>137</v>
      </c>
      <c r="F12" s="33">
        <f>Zalozenia!C$50</f>
        <v>0.21</v>
      </c>
      <c r="G12" s="33">
        <f>Zalozenia!D$50</f>
        <v>0.21</v>
      </c>
      <c r="H12" s="33">
        <f>Zalozenia!E$50</f>
        <v>0.21</v>
      </c>
      <c r="I12" s="33">
        <f>Zalozenia!F$50</f>
        <v>0.21</v>
      </c>
      <c r="J12" s="33">
        <f>Zalozenia!G$50</f>
        <v>0.21</v>
      </c>
      <c r="K12" s="33">
        <f>Zalozenia!H$50</f>
        <v>0.21</v>
      </c>
      <c r="L12" s="33">
        <f>Zalozenia!I$50</f>
        <v>0.21</v>
      </c>
      <c r="M12" s="33">
        <f>Zalozenia!J$50</f>
        <v>0.21</v>
      </c>
      <c r="N12" s="33">
        <f>Zalozenia!K$50</f>
        <v>0.21</v>
      </c>
      <c r="O12" s="33">
        <f>Zalozenia!L$50</f>
        <v>0.21</v>
      </c>
      <c r="P12" s="33">
        <f>Zalozenia!$B$12</f>
        <v>0.21</v>
      </c>
    </row>
    <row r="13" spans="1:16">
      <c r="A13" s="7" t="s">
        <v>138</v>
      </c>
      <c r="B13" s="2" t="s">
        <v>25</v>
      </c>
      <c r="F13" s="15">
        <f>MAX(0,F11)*F12</f>
        <v>1045.9213379999999</v>
      </c>
      <c r="G13" s="15">
        <f>MAX(0,G11)*G12</f>
        <v>1203.9904176299995</v>
      </c>
      <c r="H13" s="15">
        <f>MAX(0,H11)*H12</f>
        <v>1350.048271572</v>
      </c>
      <c r="I13" s="15">
        <f>MAX(0,I11)*I12</f>
        <v>1512.0540641606397</v>
      </c>
      <c r="J13" s="15">
        <f>MAX(0,J11)*J12</f>
        <v>1663.2594705767042</v>
      </c>
      <c r="K13" s="15">
        <f>MAX(0,K11)*K12</f>
        <v>1813.9895879986002</v>
      </c>
      <c r="L13" s="15">
        <f>MAX(0,L11)*L12</f>
        <v>1954.6973252098667</v>
      </c>
      <c r="M13" s="15">
        <f>MAX(0,M11)*M12</f>
        <v>2080.801192716701</v>
      </c>
      <c r="N13" s="15">
        <f>MAX(0,N11)*N12</f>
        <v>2187.8766125082484</v>
      </c>
      <c r="O13" s="15">
        <f>MAX(0,O11)*O12</f>
        <v>2271.9011501761224</v>
      </c>
      <c r="P13" s="15">
        <f>MAX(0,P11)*P12</f>
        <v>2351.4176904322862</v>
      </c>
    </row>
    <row r="14" spans="1:16">
      <c r="A14" s="7" t="s">
        <v>139</v>
      </c>
      <c r="B14" s="2" t="s">
        <v>25</v>
      </c>
      <c r="F14" s="15">
        <f>F11-F13</f>
        <v>3934.656462</v>
      </c>
      <c r="G14" s="15">
        <f>G11-G13</f>
        <v>4529.2972853699985</v>
      </c>
      <c r="H14" s="15">
        <f>H11-H13</f>
        <v>5078.753021628</v>
      </c>
      <c r="I14" s="15">
        <f>I11-I13</f>
        <v>5688.2033842233595</v>
      </c>
      <c r="J14" s="15">
        <f>J11-J13</f>
        <v>6257.023722645697</v>
      </c>
      <c r="K14" s="15">
        <f>K11-K13</f>
        <v>6824.056069137592</v>
      </c>
      <c r="L14" s="15">
        <f>L11-L13</f>
        <v>7353.385175789499</v>
      </c>
      <c r="M14" s="15">
        <f>M11-M13</f>
        <v>7827.775915458065</v>
      </c>
      <c r="N14" s="15">
        <f>N11-N13</f>
        <v>8230.58344705484</v>
      </c>
      <c r="O14" s="15">
        <f>O11-O13</f>
        <v>8546.675755424461</v>
      </c>
      <c r="P14" s="15">
        <f>P11-P13</f>
        <v>8845.809406864315</v>
      </c>
    </row>
    <row r="15" spans="1:16">
      <c r="A15" s="7" t="s">
        <v>140</v>
      </c>
      <c r="B15" s="2" t="s">
        <v>25</v>
      </c>
      <c r="F15" s="15">
        <f>F10</f>
        <v>883.6509</v>
      </c>
      <c r="G15" s="15">
        <f>G10</f>
        <v>1033.8715529999997</v>
      </c>
      <c r="H15" s="15">
        <f>H10</f>
        <v>1178.6135704199999</v>
      </c>
      <c r="I15" s="15">
        <f>I10</f>
        <v>1320.0471988704</v>
      </c>
      <c r="J15" s="15">
        <f>J10</f>
        <v>1452.05191875744</v>
      </c>
      <c r="K15" s="15">
        <f>K10</f>
        <v>1549.6826095858949</v>
      </c>
      <c r="L15" s="15">
        <f>L10</f>
        <v>1633.537657460154</v>
      </c>
      <c r="M15" s="15">
        <f>M10</f>
        <v>1700.4818799507852</v>
      </c>
      <c r="N15" s="15">
        <f>N10</f>
        <v>1747.8337599924917</v>
      </c>
      <c r="O15" s="15">
        <f>O10</f>
        <v>1773.53719763944</v>
      </c>
      <c r="P15" s="15">
        <f>P10</f>
        <v>1835.6109995568202</v>
      </c>
    </row>
    <row r="16" spans="1:16">
      <c r="A16" s="7" t="s">
        <v>141</v>
      </c>
      <c r="B16" s="2" t="s">
        <v>25</v>
      </c>
      <c r="C16" s="38" t="str">
        <f>Historia!B12</f>
        <v>n/d</v>
      </c>
      <c r="D16" s="38" t="str">
        <f>Historia!C12</f>
        <v>n/d</v>
      </c>
      <c r="E16" s="38">
        <f>Historia!D12</f>
        <v>868</v>
      </c>
      <c r="F16" s="15">
        <f>F6*Zalozenia!C$48</f>
        <v>963.9827999999999</v>
      </c>
      <c r="G16" s="15">
        <f>G6*Zalozenia!D$48</f>
        <v>1090.2645467999998</v>
      </c>
      <c r="H16" s="15">
        <f>H6*Zalozenia!E$48</f>
        <v>1200.042908064</v>
      </c>
      <c r="I16" s="15">
        <f>I6*Zalozenia!F$48</f>
        <v>1296.04634070912</v>
      </c>
      <c r="J16" s="15">
        <f>J6*Zalozenia!G$48</f>
        <v>1372.849086825216</v>
      </c>
      <c r="K16" s="15">
        <f>K6*Zalozenia!H$48</f>
        <v>1509.5056530410754</v>
      </c>
      <c r="L16" s="15">
        <f>L6*Zalozenia!I$48</f>
        <v>1639.7019505071735</v>
      </c>
      <c r="M16" s="15">
        <f>M6*Zalozenia!J$48</f>
        <v>1759.3447142567738</v>
      </c>
      <c r="N16" s="15">
        <f>N6*Zalozenia!K$48</f>
        <v>1864.3560106586579</v>
      </c>
      <c r="O16" s="15">
        <f>O6*Zalozenia!L$48</f>
        <v>1950.8909174033843</v>
      </c>
      <c r="P16" s="15">
        <f>P10*Zalozenia!$B$36</f>
        <v>2019.1720995125024</v>
      </c>
    </row>
    <row r="17" spans="1:16">
      <c r="A17" s="7" t="s">
        <v>142</v>
      </c>
      <c r="B17" s="2" t="s">
        <v>25</v>
      </c>
      <c r="F17" s="15">
        <f>F6*Zalozenia!C$49</f>
        <v>0.0</v>
      </c>
      <c r="G17" s="15">
        <f>G6*Zalozenia!D$49</f>
        <v>0.0</v>
      </c>
      <c r="H17" s="15">
        <f>H6*Zalozenia!E$49</f>
        <v>0.0</v>
      </c>
      <c r="I17" s="15">
        <f>I6*Zalozenia!F$49</f>
        <v>0.0</v>
      </c>
      <c r="J17" s="15">
        <f>J6*Zalozenia!G$49</f>
        <v>0.0</v>
      </c>
      <c r="K17" s="15">
        <f>K6*Zalozenia!H$49</f>
        <v>0.0</v>
      </c>
      <c r="L17" s="15">
        <f>L6*Zalozenia!I$49</f>
        <v>0.0</v>
      </c>
      <c r="M17" s="15">
        <f>M6*Zalozenia!J$49</f>
        <v>0.0</v>
      </c>
      <c r="N17" s="15">
        <f>N6*Zalozenia!K$49</f>
        <v>0.0</v>
      </c>
      <c r="O17" s="15">
        <f>O6*Zalozenia!L$49</f>
        <v>0.0</v>
      </c>
      <c r="P17" s="15">
        <v>0</v>
      </c>
    </row>
    <row r="18" spans="1:16">
      <c r="A18" s="7" t="s">
        <v>143</v>
      </c>
      <c r="B18" s="2" t="s">
        <v>25</v>
      </c>
      <c r="F18" s="15">
        <f>Zalozenia!$B$35*(F6-E6)</f>
        <v>-418.2569999999999</v>
      </c>
      <c r="G18" s="15">
        <f>Zalozenia!$B$35*(G6-F6)</f>
        <v>-409.6926899999996</v>
      </c>
      <c r="H18" s="15">
        <f>Zalozenia!$B$35*(H6-G6)</f>
        <v>-394.7509566000004</v>
      </c>
      <c r="I18" s="15">
        <f>Zalozenia!$B$35*(I6-H6)</f>
        <v>-385.7280775920002</v>
      </c>
      <c r="J18" s="15">
        <f>Zalozenia!$B$35*(J6-I6)</f>
        <v>-360.01287241920016</v>
      </c>
      <c r="K18" s="15">
        <f>Zalozenia!$B$35*(K6-J6)</f>
        <v>-344.53231890517435</v>
      </c>
      <c r="L18" s="15">
        <f>Zalozenia!$B$35*(L6-K6)</f>
        <v>-318.54586974821177</v>
      </c>
      <c r="M18" s="15">
        <f>Zalozenia!$B$35*(M6-L6)</f>
        <v>-282.01640690113965</v>
      </c>
      <c r="N18" s="15">
        <f>Zalozenia!$B$35*(N6-M6)</f>
        <v>-235.45133722395494</v>
      </c>
      <c r="O18" s="15">
        <f>Zalozenia!$B$35*(O6-N6)</f>
        <v>-179.92406352863873</v>
      </c>
      <c r="P18" s="15">
        <f>Zalozenia!$B$35*(P6-O6)</f>
        <v>-186.22140575214033</v>
      </c>
    </row>
    <row r="19" spans="1:16">
      <c r="A19" s="35" t="s">
        <v>144</v>
      </c>
      <c r="B19" s="2" t="s">
        <v>25</v>
      </c>
      <c r="F19" s="39">
        <f>F14+F15-F16-F17-F18</f>
        <v>4272.581561999999</v>
      </c>
      <c r="G19" s="39">
        <f>G14+G15-G16-G17-G18</f>
        <v>4882.596981569998</v>
      </c>
      <c r="H19" s="39">
        <f>H14+H15-H16-H17-H18</f>
        <v>5452.074640584001</v>
      </c>
      <c r="I19" s="39">
        <f>I14+I15-I16-I17-I18</f>
        <v>6097.9323199766395</v>
      </c>
      <c r="J19" s="39">
        <f>J14+J15-J16-J17-J18</f>
        <v>6696.239426997121</v>
      </c>
      <c r="K19" s="39">
        <f>K14+K15-K16-K17-K18</f>
        <v>7208.765344587585</v>
      </c>
      <c r="L19" s="39">
        <f>L14+L15-L16-L17-L18</f>
        <v>7665.766752490692</v>
      </c>
      <c r="M19" s="39">
        <f>M14+M15-M16-M17-M18</f>
        <v>8050.929488053216</v>
      </c>
      <c r="N19" s="39">
        <f>N14+N15-N16-N17-N18</f>
        <v>8349.51253361263</v>
      </c>
      <c r="O19" s="39">
        <f>O14+O15-O16-O17-O18</f>
        <v>8549.246099189155</v>
      </c>
      <c r="P19" s="39">
        <f>P14+P15-P16-P17-P18</f>
        <v>8848.469712660773</v>
      </c>
    </row>
    <row r="20" spans="1:16">
      <c r="A20" s="7" t="s">
        <v>145</v>
      </c>
      <c r="B20" s="2" t="s">
        <v>137</v>
      </c>
      <c r="F20" s="34">
        <f>F19/F6</f>
        <v>0.26593305785123966</v>
      </c>
      <c r="G20" s="34">
        <f>G19/G6</f>
        <v>0.25974487179487177</v>
      </c>
      <c r="H20" s="34">
        <f>H19/H6</f>
        <v>0.254421052631579</v>
      </c>
      <c r="I20" s="34">
        <f>I19/I6</f>
        <v>0.25407142857142856</v>
      </c>
      <c r="J20" s="34">
        <f>J19/J6</f>
        <v>0.25363636363636366</v>
      </c>
      <c r="K20" s="34">
        <f>K19/K6</f>
        <v>0.2511955197792088</v>
      </c>
      <c r="L20" s="34">
        <f>L19/L6</f>
        <v>0.24871519553072624</v>
      </c>
      <c r="M20" s="34">
        <f>M19/M6</f>
        <v>0.24619393967954759</v>
      </c>
      <c r="N20" s="34">
        <f>N19/N6</f>
        <v>0.24363022900763365</v>
      </c>
      <c r="O20" s="34">
        <f>O19/O6</f>
        <v>0.24102246376811592</v>
      </c>
      <c r="P20" s="34">
        <f>P19/P6</f>
        <v>0.2410224637681159</v>
      </c>
    </row>
    <row r="22" spans="1:16">
      <c r="A22" s="3" t="s">
        <v>146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7" t="s">
        <v>53</v>
      </c>
      <c r="B23" s="2" t="s">
        <v>137</v>
      </c>
      <c r="C23" s="40">
        <f>Zalozenia!$B$24</f>
        <v>0.0950299</v>
      </c>
    </row>
    <row r="24" spans="1:16">
      <c r="A24" s="7" t="s">
        <v>147</v>
      </c>
      <c r="B24" s="2" t="s">
        <v>148</v>
      </c>
      <c r="C24" s="41">
        <f>Zalozenia!$B$58</f>
        <v>0.01</v>
      </c>
    </row>
    <row r="25" spans="1:16">
      <c r="A25" s="35" t="s">
        <v>149</v>
      </c>
      <c r="B25" s="2" t="s">
        <v>137</v>
      </c>
      <c r="C25" s="42">
        <f>C23+C24</f>
        <v>0.1050299</v>
      </c>
    </row>
    <row r="26" spans="1:16">
      <c r="A26" s="35" t="s">
        <v>99</v>
      </c>
      <c r="B26" s="2" t="s">
        <v>137</v>
      </c>
      <c r="C26" s="43">
        <f>Zalozenia!$B$59</f>
        <v>0.035</v>
      </c>
    </row>
    <row r="28" spans="1:16">
      <c r="A28" s="7" t="s">
        <v>150</v>
      </c>
      <c r="B28" s="2"/>
      <c r="F28" s="44">
        <f>MIN(1,MAX(0,(DATE(F4,12,31)-Zalozenia!$B$8)/365))</f>
        <v>0.2328767123287671</v>
      </c>
      <c r="G28" s="44">
        <v>1</v>
      </c>
      <c r="H28" s="44">
        <v>1</v>
      </c>
      <c r="I28" s="44">
        <v>1</v>
      </c>
      <c r="J28" s="44">
        <v>1</v>
      </c>
      <c r="K28" s="44">
        <v>1</v>
      </c>
      <c r="L28" s="44">
        <v>1</v>
      </c>
      <c r="M28" s="44">
        <v>1</v>
      </c>
      <c r="N28" s="44">
        <v>1</v>
      </c>
      <c r="O28" s="44">
        <v>1</v>
      </c>
    </row>
    <row r="29" spans="1:16">
      <c r="A29" s="7" t="s">
        <v>151</v>
      </c>
      <c r="B29" s="2" t="s">
        <v>152</v>
      </c>
      <c r="F29" s="44">
        <f>IF(Zalozenia!$B$38=1,F28/2,F28)</f>
        <v>0.11643835616438356</v>
      </c>
      <c r="G29" s="44">
        <f>$F$28+(G$4-$F$4)-IF(Zalozenia!$B$38=1,0.5,0)</f>
        <v>0.7328767123287672</v>
      </c>
      <c r="H29" s="44">
        <f>$F$28+(H$4-$F$4)-IF(Zalozenia!$B$38=1,0.5,0)</f>
        <v>1.7328767123287672</v>
      </c>
      <c r="I29" s="44">
        <f>$F$28+(I$4-$F$4)-IF(Zalozenia!$B$38=1,0.5,0)</f>
        <v>2.732876712328767</v>
      </c>
      <c r="J29" s="44">
        <f>$F$28+(J$4-$F$4)-IF(Zalozenia!$B$38=1,0.5,0)</f>
        <v>3.7328767123287667</v>
      </c>
      <c r="K29" s="44">
        <f>$F$28+(K$4-$F$4)-IF(Zalozenia!$B$38=1,0.5,0)</f>
        <v>4.732876712328767</v>
      </c>
      <c r="L29" s="44">
        <f>$F$28+(L$4-$F$4)-IF(Zalozenia!$B$38=1,0.5,0)</f>
        <v>5.732876712328767</v>
      </c>
      <c r="M29" s="44">
        <f>$F$28+(M$4-$F$4)-IF(Zalozenia!$B$38=1,0.5,0)</f>
        <v>6.732876712328767</v>
      </c>
      <c r="N29" s="44">
        <f>$F$28+(N$4-$F$4)-IF(Zalozenia!$B$38=1,0.5,0)</f>
        <v>7.732876712328768</v>
      </c>
      <c r="O29" s="44">
        <f>$F$28+(O$4-$F$4)-IF(Zalozenia!$B$38=1,0.5,0)</f>
        <v>8.732876712328768</v>
      </c>
    </row>
    <row r="30" spans="1:16">
      <c r="A30" s="7" t="s">
        <v>153</v>
      </c>
      <c r="B30" s="2"/>
      <c r="F30" s="45">
        <f>1/(1+$C$25)^F29</f>
        <v>0.9884383778962862</v>
      </c>
      <c r="G30" s="45">
        <f>1/(1+$C$25)^G29</f>
        <v>0.9294203642915881</v>
      </c>
      <c r="H30" s="45">
        <f>1/(1+$C$25)^H29</f>
        <v>0.8410816433940731</v>
      </c>
      <c r="I30" s="45">
        <f>1/(1+$C$25)^I29</f>
        <v>0.7611392627421875</v>
      </c>
      <c r="J30" s="45">
        <f>1/(1+$C$25)^J29</f>
        <v>0.6887951744492955</v>
      </c>
      <c r="K30" s="45">
        <f>1/(1+$C$25)^K29</f>
        <v>0.6233271827751409</v>
      </c>
      <c r="L30" s="45">
        <f>1/(1+$C$25)^L29</f>
        <v>0.5640817345984401</v>
      </c>
      <c r="M30" s="45">
        <f>1/(1+$C$25)^M29</f>
        <v>0.5104673951342313</v>
      </c>
      <c r="N30" s="45">
        <f>1/(1+$C$25)^N29</f>
        <v>0.46194894376544143</v>
      </c>
      <c r="O30" s="45">
        <f>1/(1+$C$25)^O29</f>
        <v>0.4180420310486092</v>
      </c>
    </row>
    <row r="31" spans="1:16">
      <c r="A31" s="7" t="s">
        <v>154</v>
      </c>
      <c r="B31" s="2" t="s">
        <v>25</v>
      </c>
      <c r="F31" s="15">
        <f>F19*F28</f>
        <v>994.9847473150683</v>
      </c>
      <c r="G31" s="15">
        <f>G19*G28</f>
        <v>4882.596981569998</v>
      </c>
      <c r="H31" s="15">
        <f>H19*H28</f>
        <v>5452.074640584001</v>
      </c>
      <c r="I31" s="15">
        <f>I19*I28</f>
        <v>6097.9323199766395</v>
      </c>
      <c r="J31" s="15">
        <f>J19*J28</f>
        <v>6696.239426997121</v>
      </c>
      <c r="K31" s="15">
        <f>K19*K28</f>
        <v>7208.765344587585</v>
      </c>
      <c r="L31" s="15">
        <f>L19*L28</f>
        <v>7665.766752490692</v>
      </c>
      <c r="M31" s="15">
        <f>M19*M28</f>
        <v>8050.929488053216</v>
      </c>
      <c r="N31" s="15">
        <f>N19*N28</f>
        <v>8349.51253361263</v>
      </c>
      <c r="O31" s="15">
        <f>O19*O28</f>
        <v>8549.246099189155</v>
      </c>
    </row>
    <row r="32" spans="1:16">
      <c r="A32" s="35" t="s">
        <v>155</v>
      </c>
      <c r="B32" s="2" t="s">
        <v>25</v>
      </c>
      <c r="F32" s="37">
        <f>F31*F30</f>
        <v>983.4811096676523</v>
      </c>
      <c r="G32" s="37">
        <f>G31*G30</f>
        <v>4537.985065299797</v>
      </c>
      <c r="H32" s="37">
        <f>H31*H30</f>
        <v>4585.639898609542</v>
      </c>
      <c r="I32" s="37">
        <f>I31*I30</f>
        <v>4641.375710278776</v>
      </c>
      <c r="J32" s="37">
        <f>J31*J30</f>
        <v>4612.337404272733</v>
      </c>
      <c r="K32" s="37">
        <f>K31*K30</f>
        <v>4493.419393528847</v>
      </c>
      <c r="L32" s="37">
        <f>L31*L30</f>
        <v>4324.119006772001</v>
      </c>
      <c r="M32" s="37">
        <f>M31*M30</f>
        <v>4109.737004175896</v>
      </c>
      <c r="N32" s="37">
        <f>N31*N30</f>
        <v>3857.048495858669</v>
      </c>
      <c r="O32" s="37">
        <f>O31*O30</f>
        <v>3573.944203239434</v>
      </c>
    </row>
    <row r="34" spans="1:16">
      <c r="A34" s="3" t="s">
        <v>156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46" t="s">
        <v>157</v>
      </c>
      <c r="B35" s="2" t="s">
        <v>25</v>
      </c>
      <c r="C35" s="15">
        <f>P19</f>
        <v>8848.469712660773</v>
      </c>
    </row>
    <row r="36" spans="1:16">
      <c r="A36" s="46" t="s">
        <v>158</v>
      </c>
      <c r="B36" s="2"/>
      <c r="C36" s="45">
        <f>(P7-P9)*(1-Zalozenia!$B$12)+P9-Zalozenia!$B$36*P9</f>
        <v>0.23595</v>
      </c>
    </row>
    <row r="37" spans="1:16">
      <c r="A37" s="46" t="s">
        <v>159</v>
      </c>
      <c r="B37" s="2" t="s">
        <v>25</v>
      </c>
      <c r="C37" s="15">
        <f>C35/($C$25-$C$26)</f>
        <v>126352.73951070578</v>
      </c>
    </row>
    <row r="38" spans="1:16">
      <c r="A38" s="46" t="s">
        <v>160</v>
      </c>
      <c r="B38" s="2"/>
      <c r="C38" s="45">
        <f>O30</f>
        <v>0.4180420310486092</v>
      </c>
    </row>
    <row r="39" spans="1:16">
      <c r="A39" s="35" t="s">
        <v>161</v>
      </c>
      <c r="B39" s="2" t="s">
        <v>25</v>
      </c>
      <c r="C39" s="39">
        <f>C37*C38</f>
        <v>52820.7558536113</v>
      </c>
    </row>
    <row r="40" spans="1:16">
      <c r="A40" s="46" t="s">
        <v>162</v>
      </c>
      <c r="B40" s="2" t="s">
        <v>163</v>
      </c>
      <c r="C40" s="47">
        <f>C37*(1+$C$25)^(0.5*Zalozenia!$B$38)/O8</f>
        <v>10.548070572078668</v>
      </c>
    </row>
    <row r="41" spans="1:16">
      <c r="A41" s="46" t="s">
        <v>164</v>
      </c>
      <c r="B41" s="2" t="s">
        <v>163</v>
      </c>
      <c r="C41" s="48">
        <f>Zalozenia!$B$39</f>
        <v>15</v>
      </c>
    </row>
    <row r="42" spans="1:16">
      <c r="A42" s="46" t="s">
        <v>165</v>
      </c>
      <c r="B42" s="2" t="s">
        <v>25</v>
      </c>
      <c r="C42" s="15">
        <f>C41*O8/(1+$C$25)^(O29+0.5*Zalozenia!$B$38)</f>
        <v>75114.33796257126</v>
      </c>
    </row>
    <row r="43" spans="1:16">
      <c r="A43" s="46" t="s">
        <v>166</v>
      </c>
      <c r="B43" s="2" t="s">
        <v>137</v>
      </c>
      <c r="C43" s="28" t="str">
        <f>IF((P16+P17-P10+P18)&gt;0,$C$26*P14/(P16+P17-P10+P18),"n/d")</f>
        <v>n/d</v>
      </c>
    </row>
    <row r="44" spans="1:16">
      <c r="A44" s="46" t="s">
        <v>167</v>
      </c>
      <c r="B44" s="2" t="s">
        <v>137</v>
      </c>
      <c r="C44" s="28" t="str">
        <f>IF((SUM(F16:N16)+SUM(F17:N17)-SUM(F10:N10)+SUM(F18:N18))&gt;0,(O11-F11)*(1-Zalozenia!$B$12)/(SUM(F16:N16)+SUM(F17:N17)-SUM(F10:N10)+SUM(F18:N18)),"n/d")</f>
        <v>n/d</v>
      </c>
    </row>
    <row r="45" spans="1:16">
      <c r="A45" s="46" t="s">
        <v>168</v>
      </c>
      <c r="B45" s="2" t="s">
        <v>137</v>
      </c>
      <c r="C45" s="34">
        <f>SUM(K32:O32)/C50</f>
        <v>0.21999462514331694</v>
      </c>
    </row>
    <row r="47" spans="1:16">
      <c r="A47" s="3" t="s">
        <v>169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46" t="s">
        <v>170</v>
      </c>
      <c r="B48" s="2" t="s">
        <v>25</v>
      </c>
      <c r="C48" s="15">
        <f>SUM(F32:O32)</f>
        <v>39719.08729170335</v>
      </c>
    </row>
    <row r="49" spans="1:16">
      <c r="A49" s="46" t="s">
        <v>171</v>
      </c>
      <c r="B49" s="2" t="s">
        <v>25</v>
      </c>
      <c r="C49" s="15">
        <f>C39</f>
        <v>52820.7558536113</v>
      </c>
    </row>
    <row r="50" spans="1:16">
      <c r="A50" s="35" t="s">
        <v>172</v>
      </c>
      <c r="B50" s="2" t="s">
        <v>25</v>
      </c>
      <c r="C50" s="39">
        <f>C48+C49</f>
        <v>92539.84314531465</v>
      </c>
    </row>
    <row r="51" spans="1:16">
      <c r="A51" s="46" t="s">
        <v>173</v>
      </c>
      <c r="B51" s="2" t="s">
        <v>137</v>
      </c>
      <c r="C51" s="34">
        <f>C49/C50</f>
        <v>0.5707893384978754</v>
      </c>
    </row>
    <row r="52" spans="1:16">
      <c r="A52" s="46" t="s">
        <v>174</v>
      </c>
      <c r="B52" s="2" t="s">
        <v>25</v>
      </c>
      <c r="C52" s="49">
        <f>Zalozenia!$B$32</f>
        <v>810.0</v>
      </c>
    </row>
    <row r="53" spans="1:16">
      <c r="A53" s="35" t="s">
        <v>175</v>
      </c>
      <c r="B53" s="2" t="s">
        <v>25</v>
      </c>
      <c r="C53" s="39">
        <f>C50-C52</f>
        <v>91729.84314531465</v>
      </c>
    </row>
    <row r="54" spans="1:16">
      <c r="A54" s="46" t="s">
        <v>176</v>
      </c>
      <c r="B54" s="2" t="s">
        <v>177</v>
      </c>
      <c r="C54" s="50">
        <f>Zalozenia!$B$10</f>
        <v>1034</v>
      </c>
    </row>
    <row r="55" spans="1:16">
      <c r="A55" s="35" t="s">
        <v>178</v>
      </c>
      <c r="B55" s="2" t="s">
        <v>179</v>
      </c>
      <c r="C55" s="51">
        <f>C53/C54</f>
        <v>88.71358137844743</v>
      </c>
    </row>
    <row r="56" spans="1:16">
      <c r="A56" s="46" t="s">
        <v>180</v>
      </c>
      <c r="B56" s="2" t="s">
        <v>179</v>
      </c>
      <c r="C56" s="50">
        <f>Zalozenia!$B$9</f>
        <v>137.87</v>
      </c>
    </row>
    <row r="57" spans="1:16">
      <c r="A57" s="46" t="s">
        <v>181</v>
      </c>
      <c r="B57" s="2" t="s">
        <v>137</v>
      </c>
      <c r="C57" s="34">
        <f>C55/C56-1</f>
        <v>-0.3565418047548602</v>
      </c>
    </row>
    <row r="58" spans="1:16">
      <c r="A58" s="46" t="s">
        <v>182</v>
      </c>
      <c r="B58" s="2" t="s">
        <v>163</v>
      </c>
      <c r="C58" s="47">
        <f>C50/F8</f>
        <v>15.780394640017136</v>
      </c>
    </row>
    <row r="59" spans="1:16">
      <c r="A59" s="46" t="s">
        <v>183</v>
      </c>
      <c r="B59" s="2" t="s">
        <v>179</v>
      </c>
      <c r="C59" s="52">
        <f>(C48+C42-C52)/C54</f>
        <v>110.27410566177427</v>
      </c>
    </row>
    <row r="60" spans="1:16">
      <c r="A60" s="35" t="s">
        <v>184</v>
      </c>
      <c r="B60" s="2" t="s">
        <v>137</v>
      </c>
      <c r="C60" s="53">
        <f>IF(C56&gt;$B$80,"poniżej "&amp;SUBSTITUTE(ROUND($A$80*100,2)&amp;"%",".",","),IF(C56&lt;$B$128,"powyżej "&amp;SUBSTITUTE(ROUND($A$128*100,2)&amp;"%",".",","),INDEX($A$80:$A$128,MATCH(C56,$B$80:$B$128,-1))+(INDEX($B$80:$B$128,MATCH(C56,$B$80:$B$128,-1))-C56)/(INDEX($B$80:$B$128,MATCH(C56,$B$80:$B$128,-1))-INDEX($B$80:$B$128,MATCH(C56,$B$80:$B$128,-1)+1))*0.0025))</f>
        <v>0.0803539916447264</v>
      </c>
    </row>
    <row r="62" spans="1:16">
      <c r="A62" s="3" t="s">
        <v>185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54" t="s">
        <v>186</v>
      </c>
      <c r="C63" s="55">
        <f>$C$26+(-2)*Zalozenia!$B$42</f>
        <v>0.025</v>
      </c>
      <c r="D63" s="55">
        <f>$C$26+(-1)*Zalozenia!$B$42</f>
        <v>0.030000000000000002</v>
      </c>
      <c r="E63" s="55">
        <f>$C$26+(0)*Zalozenia!$B$42</f>
        <v>0.035</v>
      </c>
      <c r="F63" s="55">
        <f>$C$26+(1)*Zalozenia!$B$42</f>
        <v>0.04</v>
      </c>
      <c r="G63" s="55">
        <f>$C$26+(2)*Zalozenia!$B$42</f>
        <v>0.045000000000000005</v>
      </c>
    </row>
    <row r="64" spans="1:16">
      <c r="B64" s="55">
        <f>$C$25+(-2)*Zalozenia!$B$41</f>
        <v>0.0950299</v>
      </c>
      <c r="C64" s="56">
        <f>(SUMPRODUCT(($F$31:$O$31)/(1+$B64)^$F$29:$O$29)+$O$6*((1+C$63)*$C$36-Zalozenia!$B$35*C$63)/($B64-C$63)/(1+$B64)^$O$29-C52)/C54</f>
        <v>93.6692564391741</v>
      </c>
      <c r="D64" s="56">
        <f>(SUMPRODUCT(($F$31:$O$31)/(1+$B64)^$F$29:$O$29)+$O$6*((1+D$63)*$C$36-Zalozenia!$B$35*D$63)/($B64-D$63)/(1+$B64)^$O$29-C52)/C54</f>
        <v>98.31643646473212</v>
      </c>
      <c r="E64" s="56">
        <f>(SUMPRODUCT(($F$31:$O$31)/(1+$B64)^$F$29:$O$29)+$O$6*((1+E$63)*$C$36-Zalozenia!$B$35*E$63)/($B64-E$63)/(1+$B64)^$O$29-C52)/C54</f>
        <v>103.73776071267899</v>
      </c>
      <c r="F64" s="56">
        <f>(SUMPRODUCT(($F$31:$O$31)/(1+$B64)^$F$29:$O$29)+$O$6*((1+F$63)*$C$36-Zalozenia!$B$35*F$63)/($B64-F$63)/(1+$B64)^$O$29-C52)/C54</f>
        <v>110.14424470977076</v>
      </c>
      <c r="G64" s="56">
        <f>(SUMPRODUCT(($F$31:$O$31)/(1+$B64)^$F$29:$O$29)+$O$6*((1+G$63)*$C$36-Zalozenia!$B$35*G$63)/($B64-G$63)/(1+$B64)^$O$29-C52)/C54</f>
        <v>117.83125974871783</v>
      </c>
    </row>
    <row r="65" spans="1:16">
      <c r="B65" s="55">
        <f>$C$25+(-1)*Zalozenia!$B$41</f>
        <v>0.10002989999999999</v>
      </c>
      <c r="C65" s="56">
        <f>(SUMPRODUCT(($F$31:$O$31)/(1+$B65)^$F$29:$O$29)+$O$6*((1+C$63)*$C$36-Zalozenia!$B$35*C$63)/($B65-C$63)/(1+$B65)^$O$29-C52)/C54</f>
        <v>87.25072892216342</v>
      </c>
      <c r="D65" s="56">
        <f>(SUMPRODUCT(($F$31:$O$31)/(1+$B65)^$F$29:$O$29)+$O$6*((1+D$63)*$C$36-Zalozenia!$B$35*D$63)/($B65-D$63)/(1+$B65)^$O$29-C52)/C54</f>
        <v>91.14883251482586</v>
      </c>
      <c r="E65" s="56">
        <f>(SUMPRODUCT(($F$31:$O$31)/(1+$B65)^$F$29:$O$29)+$O$6*((1+E$63)*$C$36-Zalozenia!$B$35*E$63)/($B65-E$63)/(1+$B65)^$O$29-C52)/C54</f>
        <v>95.64636861356048</v>
      </c>
      <c r="F65" s="56">
        <f>(SUMPRODUCT(($F$31:$O$31)/(1+$B65)^$F$29:$O$29)+$O$6*((1+F$63)*$C$36-Zalozenia!$B$35*F$63)/($B65-F$63)/(1+$B65)^$O$29-C52)/C54</f>
        <v>100.89312070278233</v>
      </c>
      <c r="G65" s="56">
        <f>(SUMPRODUCT(($F$31:$O$31)/(1+$B65)^$F$29:$O$29)+$O$6*((1+G$63)*$C$36-Zalozenia!$B$35*G$63)/($B65-G$63)/(1+$B65)^$O$29-C52)/C54</f>
        <v>107.09330939450965</v>
      </c>
    </row>
    <row r="66" spans="1:16">
      <c r="B66" s="55">
        <f>$C$25+(0)*Zalozenia!$B$41</f>
        <v>0.1050299</v>
      </c>
      <c r="C66" s="56">
        <f>(SUMPRODUCT(($F$31:$O$31)/(1+$B66)^$F$29:$O$29)+$O$6*((1+C$63)*$C$36-Zalozenia!$B$35*C$63)/($B66-C$63)/(1+$B66)^$O$29-C52)/C54</f>
        <v>81.63888952994373</v>
      </c>
      <c r="D66" s="56">
        <f>(SUMPRODUCT(($F$31:$O$31)/(1+$B66)^$F$29:$O$29)+$O$6*((1+D$63)*$C$36-Zalozenia!$B$35*D$63)/($B66-D$63)/(1+$B66)^$O$29-C52)/C54</f>
        <v>84.94050636990706</v>
      </c>
      <c r="E66" s="57">
        <f>(SUMPRODUCT(($F$31:$O$31)/(1+$B66)^$F$29:$O$29)+$O$6*((1+E$63)*$C$36-Zalozenia!$B$35*E$63)/($B66-E$63)/(1+$B66)^$O$29-C52)/C54</f>
        <v>88.71358137844743</v>
      </c>
      <c r="F66" s="56">
        <f>(SUMPRODUCT(($F$31:$O$31)/(1+$B66)^$F$29:$O$29)+$O$6*((1+F$63)*$C$36-Zalozenia!$B$35*F$63)/($B66-F$63)/(1+$B66)^$O$29-C52)/C54</f>
        <v>93.06686257038044</v>
      </c>
      <c r="G66" s="56">
        <f>(SUMPRODUCT(($F$31:$O$31)/(1+$B66)^$F$29:$O$29)+$O$6*((1+G$63)*$C$36-Zalozenia!$B$35*G$63)/($B66-G$63)/(1+$B66)^$O$29-C52)/C54</f>
        <v>98.14532924353746</v>
      </c>
    </row>
    <row r="67" spans="1:16">
      <c r="B67" s="55">
        <f>$C$25+(1)*Zalozenia!$B$41</f>
        <v>0.1100299</v>
      </c>
      <c r="C67" s="56">
        <f>(SUMPRODUCT(($F$31:$O$31)/(1+$B67)^$F$29:$O$29)+$O$6*((1+C$63)*$C$36-Zalozenia!$B$35*C$63)/($B67-C$63)/(1+$B67)^$O$29-C52)/C54</f>
        <v>76.69131198130691</v>
      </c>
      <c r="D67" s="56">
        <f>(SUMPRODUCT(($F$31:$O$31)/(1+$B67)^$F$29:$O$29)+$O$6*((1+D$63)*$C$36-Zalozenia!$B$35*D$63)/($B67-D$63)/(1+$B67)^$O$29-C52)/C54</f>
        <v>79.51156404421057</v>
      </c>
      <c r="E67" s="56">
        <f>(SUMPRODUCT(($F$31:$O$31)/(1+$B67)^$F$29:$O$29)+$O$6*((1+E$63)*$C$36-Zalozenia!$B$35*E$63)/($B67-E$63)/(1+$B67)^$O$29-C52)/C54</f>
        <v>82.70769986317728</v>
      </c>
      <c r="F67" s="56">
        <f>(SUMPRODUCT(($F$31:$O$31)/(1+$B67)^$F$29:$O$29)+$O$6*((1+F$63)*$C$36-Zalozenia!$B$35*F$63)/($B67-F$63)/(1+$B67)^$O$29-C52)/C54</f>
        <v>86.36023156718264</v>
      </c>
      <c r="G67" s="56">
        <f>(SUMPRODUCT(($F$31:$O$31)/(1+$B67)^$F$29:$O$29)+$O$6*((1+G$63)*$C$36-Zalozenia!$B$35*G$63)/($B67-G$63)/(1+$B67)^$O$29-C52)/C54</f>
        <v>90.5744328576406</v>
      </c>
    </row>
    <row r="68" spans="1:16">
      <c r="B68" s="55">
        <f>$C$25+(2)*Zalozenia!$B$41</f>
        <v>0.11502989999999999</v>
      </c>
      <c r="C68" s="56">
        <f>(SUMPRODUCT(($F$31:$O$31)/(1+$B68)^$F$29:$O$29)+$O$6*((1+C$63)*$C$36-Zalozenia!$B$35*C$63)/($B68-C$63)/(1+$B68)^$O$29-C52)/C54</f>
        <v>72.29721328225126</v>
      </c>
      <c r="D68" s="56">
        <f>(SUMPRODUCT(($F$31:$O$31)/(1+$B68)^$F$29:$O$29)+$O$6*((1+D$63)*$C$36-Zalozenia!$B$35*D$63)/($B68-D$63)/(1+$B68)^$O$29-C52)/C54</f>
        <v>74.7244273145922</v>
      </c>
      <c r="E68" s="56">
        <f>(SUMPRODUCT(($F$31:$O$31)/(1+$B68)^$F$29:$O$29)+$O$6*((1+E$63)*$C$36-Zalozenia!$B$35*E$63)/($B68-E$63)/(1+$B68)^$O$29-C52)/C54</f>
        <v>77.45492974693624</v>
      </c>
      <c r="F68" s="56">
        <f>(SUMPRODUCT(($F$31:$O$31)/(1+$B68)^$F$29:$O$29)+$O$6*((1+F$63)*$C$36-Zalozenia!$B$35*F$63)/($B68-F$63)/(1+$B68)^$O$29-C52)/C54</f>
        <v>80.54935408672573</v>
      </c>
      <c r="G68" s="56">
        <f>(SUMPRODUCT(($F$31:$O$31)/(1+$B68)^$F$29:$O$29)+$O$6*((1+G$63)*$C$36-Zalozenia!$B$35*G$63)/($B68-G$63)/(1+$B68)^$O$29-C52)/C54</f>
        <v>84.08565030406885</v>
      </c>
    </row>
    <row r="70" spans="1:16">
      <c r="A70" s="3" t="s">
        <v>187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54" t="s">
        <v>188</v>
      </c>
      <c r="C71" s="58">
        <f>(-2)*Zalozenia!$B$43</f>
        <v>-0.02</v>
      </c>
      <c r="D71" s="58">
        <f>(-1)*Zalozenia!$B$43</f>
        <v>-0.01</v>
      </c>
      <c r="E71" s="58">
        <f>(0)*Zalozenia!$B$43</f>
        <v>0.0</v>
      </c>
      <c r="F71" s="58">
        <f>(1)*Zalozenia!$B$43</f>
        <v>0.01</v>
      </c>
      <c r="G71" s="58">
        <f>(2)*Zalozenia!$B$43</f>
        <v>0.02</v>
      </c>
    </row>
    <row r="72" spans="1:16">
      <c r="B72" s="55">
        <f>$C$25+(-2)*Zalozenia!$B$41</f>
        <v>0.0950299</v>
      </c>
      <c r="C72" s="56">
        <f>(SUMPRODUCT(($F$31:$O$31+C$71*$F$6:$O$6*(1-$F$12:$O$12)*$F$28:$O$28)/(1+$B72)^$F$29:$O$29)+$O$6*((1+$C$26)*($C$36+C$71*(1-Zalozenia!$B$12))-Zalozenia!$B$35*$C$26)/($B72-$C$26)/(1+$B72)^$O$29-C52)/C54</f>
        <v>96.9883944168281</v>
      </c>
      <c r="D72" s="56">
        <f>(SUMPRODUCT(($F$31:$O$31+D$71*$F$6:$O$6*(1-$F$12:$O$12)*$F$28:$O$28)/(1+$B72)^$F$29:$O$29)+$O$6*((1+$C$26)*($C$36+D$71*(1-Zalozenia!$B$12))-Zalozenia!$B$35*$C$26)/($B72-$C$26)/(1+$B72)^$O$29-C52)/C54</f>
        <v>100.36307756475355</v>
      </c>
      <c r="E72" s="56">
        <f>(SUMPRODUCT(($F$31:$O$31+E$71*$F$6:$O$6*(1-$F$12:$O$12)*$F$28:$O$28)/(1+$B72)^$F$29:$O$29)+$O$6*((1+$C$26)*($C$36+E$71*(1-Zalozenia!$B$12))-Zalozenia!$B$35*$C$26)/($B72-$C$26)/(1+$B72)^$O$29-C52)/C54</f>
        <v>103.73776071267899</v>
      </c>
      <c r="F72" s="56">
        <f>(SUMPRODUCT(($F$31:$O$31+F$71*$F$6:$O$6*(1-$F$12:$O$12)*$F$28:$O$28)/(1+$B72)^$F$29:$O$29)+$O$6*((1+$C$26)*($C$36+F$71*(1-Zalozenia!$B$12))-Zalozenia!$B$35*$C$26)/($B72-$C$26)/(1+$B72)^$O$29-C52)/C54</f>
        <v>107.11244386060443</v>
      </c>
      <c r="G72" s="56">
        <f>(SUMPRODUCT(($F$31:$O$31+G$71*$F$6:$O$6*(1-$F$12:$O$12)*$F$28:$O$28)/(1+$B72)^$F$29:$O$29)+$O$6*((1+$C$26)*($C$36+G$71*(1-Zalozenia!$B$12))-Zalozenia!$B$35*$C$26)/($B72-$C$26)/(1+$B72)^$O$29-C52)/C54</f>
        <v>110.48712700852987</v>
      </c>
    </row>
    <row r="73" spans="1:16">
      <c r="B73" s="55">
        <f>$C$25+(-1)*Zalozenia!$B$41</f>
        <v>0.10002989999999999</v>
      </c>
      <c r="C73" s="56">
        <f>(SUMPRODUCT(($F$31:$O$31+C$71*$F$6:$O$6*(1-$F$12:$O$12)*$F$28:$O$28)/(1+$B73)^$F$29:$O$29)+$O$6*((1+$C$26)*($C$36+C$71*(1-Zalozenia!$B$12))-Zalozenia!$B$35*$C$26)/($B73-$C$26)/(1+$B73)^$O$29-C52)/C54</f>
        <v>89.4260253680024</v>
      </c>
      <c r="D73" s="56">
        <f>(SUMPRODUCT(($F$31:$O$31+D$71*$F$6:$O$6*(1-$F$12:$O$12)*$F$28:$O$28)/(1+$B73)^$F$29:$O$29)+$O$6*((1+$C$26)*($C$36+D$71*(1-Zalozenia!$B$12))-Zalozenia!$B$35*$C$26)/($B73-$C$26)/(1+$B73)^$O$29-C52)/C54</f>
        <v>92.53619699078148</v>
      </c>
      <c r="E73" s="56">
        <f>(SUMPRODUCT(($F$31:$O$31+E$71*$F$6:$O$6*(1-$F$12:$O$12)*$F$28:$O$28)/(1+$B73)^$F$29:$O$29)+$O$6*((1+$C$26)*($C$36+E$71*(1-Zalozenia!$B$12))-Zalozenia!$B$35*$C$26)/($B73-$C$26)/(1+$B73)^$O$29-C52)/C54</f>
        <v>95.64636861356048</v>
      </c>
      <c r="F73" s="56">
        <f>(SUMPRODUCT(($F$31:$O$31+F$71*$F$6:$O$6*(1-$F$12:$O$12)*$F$28:$O$28)/(1+$B73)^$F$29:$O$29)+$O$6*((1+$C$26)*($C$36+F$71*(1-Zalozenia!$B$12))-Zalozenia!$B$35*$C$26)/($B73-$C$26)/(1+$B73)^$O$29-C52)/C54</f>
        <v>98.75654023633955</v>
      </c>
      <c r="G73" s="56">
        <f>(SUMPRODUCT(($F$31:$O$31+G$71*$F$6:$O$6*(1-$F$12:$O$12)*$F$28:$O$28)/(1+$B73)^$F$29:$O$29)+$O$6*((1+$C$26)*($C$36+G$71*(1-Zalozenia!$B$12))-Zalozenia!$B$35*$C$26)/($B73-$C$26)/(1+$B73)^$O$29-C52)/C54</f>
        <v>101.86671185911858</v>
      </c>
    </row>
    <row r="74" spans="1:16">
      <c r="B74" s="55">
        <f>$C$25+(0)*Zalozenia!$B$41</f>
        <v>0.1050299</v>
      </c>
      <c r="C74" s="56">
        <f>(SUMPRODUCT(($F$31:$O$31+C$71*$F$6:$O$6*(1-$F$12:$O$12)*$F$28:$O$28)/(1+$B74)^$F$29:$O$29)+$O$6*((1+$C$26)*($C$36+C$71*(1-Zalozenia!$B$12))-Zalozenia!$B$35*$C$26)/($B74-$C$26)/(1+$B74)^$O$29-C52)/C54</f>
        <v>82.94634403328416</v>
      </c>
      <c r="D74" s="56">
        <f>(SUMPRODUCT(($F$31:$O$31+D$71*$F$6:$O$6*(1-$F$12:$O$12)*$F$28:$O$28)/(1+$B74)^$F$29:$O$29)+$O$6*((1+$C$26)*($C$36+D$71*(1-Zalozenia!$B$12))-Zalozenia!$B$35*$C$26)/($B74-$C$26)/(1+$B74)^$O$29-C52)/C54</f>
        <v>85.82996270586581</v>
      </c>
      <c r="E74" s="57">
        <f>(SUMPRODUCT(($F$31:$O$31+E$71*$F$6:$O$6*(1-$F$12:$O$12)*$F$28:$O$28)/(1+$B74)^$F$29:$O$29)+$O$6*((1+$C$26)*($C$36+E$71*(1-Zalozenia!$B$12))-Zalozenia!$B$35*$C$26)/($B74-$C$26)/(1+$B74)^$O$29-C52)/C54</f>
        <v>88.71358137844743</v>
      </c>
      <c r="F74" s="56">
        <f>(SUMPRODUCT(($F$31:$O$31+F$71*$F$6:$O$6*(1-$F$12:$O$12)*$F$28:$O$28)/(1+$B74)^$F$29:$O$29)+$O$6*((1+$C$26)*($C$36+F$71*(1-Zalozenia!$B$12))-Zalozenia!$B$35*$C$26)/($B74-$C$26)/(1+$B74)^$O$29-C52)/C54</f>
        <v>91.59720005102908</v>
      </c>
      <c r="G74" s="56">
        <f>(SUMPRODUCT(($F$31:$O$31+G$71*$F$6:$O$6*(1-$F$12:$O$12)*$F$28:$O$28)/(1+$B74)^$F$29:$O$29)+$O$6*((1+$C$26)*($C$36+G$71*(1-Zalozenia!$B$12))-Zalozenia!$B$35*$C$26)/($B74-$C$26)/(1+$B74)^$O$29-C52)/C54</f>
        <v>94.48081872361072</v>
      </c>
    </row>
    <row r="75" spans="1:16">
      <c r="B75" s="55">
        <f>$C$25+(1)*Zalozenia!$B$41</f>
        <v>0.1100299</v>
      </c>
      <c r="C75" s="56">
        <f>(SUMPRODUCT(($F$31:$O$31+C$71*$F$6:$O$6*(1-$F$12:$O$12)*$F$28:$O$28)/(1+$B75)^$F$29:$O$29)+$O$6*((1+$C$26)*($C$36+C$71*(1-Zalozenia!$B$12))-Zalozenia!$B$35*$C$26)/($B75-$C$26)/(1+$B75)^$O$29-C52)/C54</f>
        <v>77.33283901084212</v>
      </c>
      <c r="D75" s="56">
        <f>(SUMPRODUCT(($F$31:$O$31+D$71*$F$6:$O$6*(1-$F$12:$O$12)*$F$28:$O$28)/(1+$B75)^$F$29:$O$29)+$O$6*((1+$C$26)*($C$36+D$71*(1-Zalozenia!$B$12))-Zalozenia!$B$35*$C$26)/($B75-$C$26)/(1+$B75)^$O$29-C52)/C54</f>
        <v>80.02026943700973</v>
      </c>
      <c r="E75" s="56">
        <f>(SUMPRODUCT(($F$31:$O$31+E$71*$F$6:$O$6*(1-$F$12:$O$12)*$F$28:$O$28)/(1+$B75)^$F$29:$O$29)+$O$6*((1+$C$26)*($C$36+E$71*(1-Zalozenia!$B$12))-Zalozenia!$B$35*$C$26)/($B75-$C$26)/(1+$B75)^$O$29-C52)/C54</f>
        <v>82.70769986317728</v>
      </c>
      <c r="F75" s="56">
        <f>(SUMPRODUCT(($F$31:$O$31+F$71*$F$6:$O$6*(1-$F$12:$O$12)*$F$28:$O$28)/(1+$B75)^$F$29:$O$29)+$O$6*((1+$C$26)*($C$36+F$71*(1-Zalozenia!$B$12))-Zalozenia!$B$35*$C$26)/($B75-$C$26)/(1+$B75)^$O$29-C52)/C54</f>
        <v>85.39513028934486</v>
      </c>
      <c r="G75" s="56">
        <f>(SUMPRODUCT(($F$31:$O$31+G$71*$F$6:$O$6*(1-$F$12:$O$12)*$F$28:$O$28)/(1+$B75)^$F$29:$O$29)+$O$6*((1+$C$26)*($C$36+G$71*(1-Zalozenia!$B$12))-Zalozenia!$B$35*$C$26)/($B75-$C$26)/(1+$B75)^$O$29-C52)/C54</f>
        <v>88.08256071551243</v>
      </c>
    </row>
    <row r="76" spans="1:16">
      <c r="B76" s="55">
        <f>$C$25+(2)*Zalozenia!$B$41</f>
        <v>0.11502989999999999</v>
      </c>
      <c r="C76" s="56">
        <f>(SUMPRODUCT(($F$31:$O$31+C$71*$F$6:$O$6*(1-$F$12:$O$12)*$F$28:$O$28)/(1+$B76)^$F$29:$O$29)+$O$6*((1+$C$26)*($C$36+C$71*(1-Zalozenia!$B$12))-Zalozenia!$B$35*$C$26)/($B76-$C$26)/(1+$B76)^$O$29-C52)/C54</f>
        <v>72.42310786674652</v>
      </c>
      <c r="D76" s="56">
        <f>(SUMPRODUCT(($F$31:$O$31+D$71*$F$6:$O$6*(1-$F$12:$O$12)*$F$28:$O$28)/(1+$B76)^$F$29:$O$29)+$O$6*((1+$C$26)*($C$36+D$71*(1-Zalozenia!$B$12))-Zalozenia!$B$35*$C$26)/($B76-$C$26)/(1+$B76)^$O$29-C52)/C54</f>
        <v>74.9390188068414</v>
      </c>
      <c r="E76" s="56">
        <f>(SUMPRODUCT(($F$31:$O$31+E$71*$F$6:$O$6*(1-$F$12:$O$12)*$F$28:$O$28)/(1+$B76)^$F$29:$O$29)+$O$6*((1+$C$26)*($C$36+E$71*(1-Zalozenia!$B$12))-Zalozenia!$B$35*$C$26)/($B76-$C$26)/(1+$B76)^$O$29-C52)/C54</f>
        <v>77.45492974693624</v>
      </c>
      <c r="F76" s="56">
        <f>(SUMPRODUCT(($F$31:$O$31+F$71*$F$6:$O$6*(1-$F$12:$O$12)*$F$28:$O$28)/(1+$B76)^$F$29:$O$29)+$O$6*((1+$C$26)*($C$36+F$71*(1-Zalozenia!$B$12))-Zalozenia!$B$35*$C$26)/($B76-$C$26)/(1+$B76)^$O$29-C52)/C54</f>
        <v>79.97084068703111</v>
      </c>
      <c r="G76" s="56">
        <f>(SUMPRODUCT(($F$31:$O$31+G$71*$F$6:$O$6*(1-$F$12:$O$12)*$F$28:$O$28)/(1+$B76)^$F$29:$O$29)+$O$6*((1+$C$26)*($C$36+G$71*(1-Zalozenia!$B$12))-Zalozenia!$B$35*$C$26)/($B76-$C$26)/(1+$B76)^$O$29-C52)/C54</f>
        <v>82.48675162712595</v>
      </c>
    </row>
    <row r="78" spans="1:16">
      <c r="A78" s="3" t="s">
        <v>189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5" t="s">
        <v>190</v>
      </c>
      <c r="B79" s="35" t="s">
        <v>191</v>
      </c>
    </row>
    <row r="80" spans="1:16">
      <c r="A80" s="59">
        <f>$C$26+0.005+0.0025*0</f>
        <v>0.04</v>
      </c>
      <c r="B80" s="52">
        <f>(SUMPRODUCT(($F$31:$O$31)/(1+$A80)^$F$29:$O$29)+$O$6*((1+$C$26)*$C$36-Zalozenia!$B$35*$C$26)/($A80-$C$26)/(1+$A80)^$O$29-C52)/C54</f>
        <v>1265.2480321751768</v>
      </c>
    </row>
    <row r="81" spans="1:2">
      <c r="A81" s="59">
        <f>$C$26+0.005+0.0025*1</f>
        <v>0.0425</v>
      </c>
      <c r="B81" s="52">
        <f>(SUMPRODUCT(($F$31:$O$31)/(1+$A81)^$F$29:$O$29)+$O$6*((1+$C$26)*$C$36-Zalozenia!$B$35*$C$26)/($A81-$C$26)/(1+$A81)^$O$29-C52)/C54</f>
        <v>842.8044282800396</v>
      </c>
    </row>
    <row r="82" spans="1:2">
      <c r="A82" s="59">
        <f>$C$26+0.005+0.0025*2</f>
        <v>0.045</v>
      </c>
      <c r="B82" s="52">
        <f>(SUMPRODUCT(($F$31:$O$31)/(1+$A82)^$F$29:$O$29)+$O$6*((1+$C$26)*$C$36-Zalozenia!$B$35*$C$26)/($A82-$C$26)/(1+$A82)^$O$29-C52)/C54</f>
        <v>631.5899950289763</v>
      </c>
    </row>
    <row r="83" spans="1:2">
      <c r="A83" s="59">
        <f>$C$26+0.005+0.0025*3</f>
        <v>0.0475</v>
      </c>
      <c r="B83" s="52">
        <f>(SUMPRODUCT(($F$31:$O$31)/(1+$A83)^$F$29:$O$29)+$O$6*((1+$C$26)*$C$36-Zalozenia!$B$35*$C$26)/($A83-$C$26)/(1+$A83)^$O$29-C52)/C54</f>
        <v>504.8671586277621</v>
      </c>
    </row>
    <row r="84" spans="1:2">
      <c r="A84" s="59">
        <f>$C$26+0.005+0.0025*4</f>
        <v>0.05</v>
      </c>
      <c r="B84" s="52">
        <f>(SUMPRODUCT(($F$31:$O$31)/(1+$A84)^$F$29:$O$29)+$O$6*((1+$C$26)*$C$36-Zalozenia!$B$35*$C$26)/($A84-$C$26)/(1+$A84)^$O$29-C52)/C54</f>
        <v>420.3900618893156</v>
      </c>
    </row>
    <row r="85" spans="1:2">
      <c r="A85" s="59">
        <f>$C$26+0.005+0.0025*5</f>
        <v>0.052500000000000005</v>
      </c>
      <c r="B85" s="52">
        <f>(SUMPRODUCT(($F$31:$O$31)/(1+$A85)^$F$29:$O$29)+$O$6*((1+$C$26)*$C$36-Zalozenia!$B$35*$C$26)/($A85-$C$26)/(1+$A85)^$O$29-C52)/C54</f>
        <v>360.0533380788701</v>
      </c>
    </row>
    <row r="86" spans="1:2">
      <c r="A86" s="59">
        <f>$C$26+0.005+0.0025*6</f>
        <v>0.055</v>
      </c>
      <c r="B86" s="52">
        <f>(SUMPRODUCT(($F$31:$O$31)/(1+$A86)^$F$29:$O$29)+$O$6*((1+$C$26)*$C$36-Zalozenia!$B$35*$C$26)/($A86-$C$26)/(1+$A86)^$O$29-C52)/C54</f>
        <v>314.8043043752721</v>
      </c>
    </row>
    <row r="87" spans="1:2">
      <c r="A87" s="59">
        <f>$C$26+0.005+0.0025*7</f>
        <v>0.0575</v>
      </c>
      <c r="B87" s="52">
        <f>(SUMPRODUCT(($F$31:$O$31)/(1+$A87)^$F$29:$O$29)+$O$6*((1+$C$26)*$C$36-Zalozenia!$B$35*$C$26)/($A87-$C$26)/(1+$A87)^$O$29-C52)/C54</f>
        <v>279.6136930247462</v>
      </c>
    </row>
    <row r="88" spans="1:2">
      <c r="A88" s="59">
        <f>$C$26+0.005+0.0025*8</f>
        <v>0.06</v>
      </c>
      <c r="B88" s="52">
        <f>(SUMPRODUCT(($F$31:$O$31)/(1+$A88)^$F$29:$O$29)+$O$6*((1+$C$26)*$C$36-Zalozenia!$B$35*$C$26)/($A88-$C$26)/(1+$A88)^$O$29-C52)/C54</f>
        <v>251.46394380241108</v>
      </c>
    </row>
    <row r="89" spans="1:2">
      <c r="A89" s="59">
        <f>$C$26+0.005+0.0025*9</f>
        <v>0.0625</v>
      </c>
      <c r="B89" s="52">
        <f>(SUMPRODUCT(($F$31:$O$31)/(1+$A89)^$F$29:$O$29)+$O$6*((1+$C$26)*$C$36-Zalozenia!$B$35*$C$26)/($A89-$C$26)/(1+$A89)^$O$29-C52)/C54</f>
        <v>228.43479149478853</v>
      </c>
    </row>
    <row r="90" spans="1:2">
      <c r="A90" s="59">
        <f>$C$26+0.005+0.0025*10</f>
        <v>0.065</v>
      </c>
      <c r="B90" s="52">
        <f>(SUMPRODUCT(($F$31:$O$31)/(1+$A90)^$F$29:$O$29)+$O$6*((1+$C$26)*$C$36-Zalozenia!$B$35*$C$26)/($A90-$C$26)/(1+$A90)^$O$29-C52)/C54</f>
        <v>209.24605964107243</v>
      </c>
    </row>
    <row r="91" spans="1:2">
      <c r="A91" s="59">
        <f>$C$26+0.005+0.0025*11</f>
        <v>0.0675</v>
      </c>
      <c r="B91" s="52">
        <f>(SUMPRODUCT(($F$31:$O$31)/(1+$A91)^$F$29:$O$29)+$O$6*((1+$C$26)*$C$36-Zalozenia!$B$35*$C$26)/($A91-$C$26)/(1+$A91)^$O$29-C52)/C54</f>
        <v>193.01147254766573</v>
      </c>
    </row>
    <row r="92" spans="1:2">
      <c r="A92" s="59">
        <f>$C$26+0.005+0.0025*12</f>
        <v>0.07</v>
      </c>
      <c r="B92" s="52">
        <f>(SUMPRODUCT(($F$31:$O$31)/(1+$A92)^$F$29:$O$29)+$O$6*((1+$C$26)*$C$36-Zalozenia!$B$35*$C$26)/($A92-$C$26)/(1+$A92)^$O$29-C52)/C54</f>
        <v>179.09797643935644</v>
      </c>
    </row>
    <row r="93" spans="1:2">
      <c r="A93" s="59">
        <f>$C$26+0.005+0.0025*13</f>
        <v>0.07250000000000001</v>
      </c>
      <c r="B93" s="52">
        <f>(SUMPRODUCT(($F$31:$O$31)/(1+$A93)^$F$29:$O$29)+$O$6*((1+$C$26)*$C$36-Zalozenia!$B$35*$C$26)/($A93-$C$26)/(1+$A93)^$O$29-C52)/C54</f>
        <v>167.04133215003634</v>
      </c>
    </row>
    <row r="94" spans="1:2">
      <c r="A94" s="59">
        <f>$C$26+0.005+0.0025*14</f>
        <v>0.07500000000000001</v>
      </c>
      <c r="B94" s="52">
        <f>(SUMPRODUCT(($F$31:$O$31)/(1+$A94)^$F$29:$O$29)+$O$6*((1+$C$26)*$C$36-Zalozenia!$B$35*$C$26)/($A94-$C$26)/(1+$A94)^$O$29-C52)/C54</f>
        <v>156.49336055441012</v>
      </c>
    </row>
    <row r="95" spans="1:2">
      <c r="A95" s="59">
        <f>$C$26+0.005+0.0025*15</f>
        <v>0.0775</v>
      </c>
      <c r="B95" s="52">
        <f>(SUMPRODUCT(($F$31:$O$31)/(1+$A95)^$F$29:$O$29)+$O$6*((1+$C$26)*$C$36-Zalozenia!$B$35*$C$26)/($A95-$C$26)/(1+$A95)^$O$29-C52)/C54</f>
        <v>147.187807259117</v>
      </c>
    </row>
    <row r="96" spans="1:2">
      <c r="A96" s="59">
        <f>$C$26+0.005+0.0025*16</f>
        <v>0.08</v>
      </c>
      <c r="B96" s="52">
        <f>(SUMPRODUCT(($F$31:$O$31)/(1+$A96)^$F$29:$O$29)+$O$6*((1+$C$26)*$C$36-Zalozenia!$B$35*$C$26)/($A96-$C$26)/(1+$A96)^$O$29-C52)/C54</f>
        <v>138.9175857301564</v>
      </c>
    </row>
    <row r="97" spans="1:2">
      <c r="A97" s="59">
        <f>$C$26+0.005+0.0025*17</f>
        <v>0.0825</v>
      </c>
      <c r="B97" s="52">
        <f>(SUMPRODUCT(($F$31:$O$31)/(1+$A97)^$F$29:$O$29)+$O$6*((1+$C$26)*$C$36-Zalozenia!$B$35*$C$26)/($A97-$C$26)/(1+$A97)^$O$29-C52)/C54</f>
        <v>131.51920680114173</v>
      </c>
    </row>
    <row r="98" spans="1:2">
      <c r="A98" s="59">
        <f>$C$26+0.005+0.0025*18</f>
        <v>0.08499999999999999</v>
      </c>
      <c r="B98" s="52">
        <f>(SUMPRODUCT(($F$31:$O$31)/(1+$A98)^$F$29:$O$29)+$O$6*((1+$C$26)*$C$36-Zalozenia!$B$35*$C$26)/($A98-$C$26)/(1+$A98)^$O$29-C52)/C54</f>
        <v>124.86187932908926</v>
      </c>
    </row>
    <row r="99" spans="1:2">
      <c r="A99" s="59">
        <f>$C$26+0.005+0.0025*19</f>
        <v>0.0875</v>
      </c>
      <c r="B99" s="52">
        <f>(SUMPRODUCT(($F$31:$O$31)/(1+$A99)^$F$29:$O$29)+$O$6*((1+$C$26)*$C$36-Zalozenia!$B$35*$C$26)/($A99-$C$26)/(1+$A99)^$O$29-C52)/C54</f>
        <v>118.83972494856852</v>
      </c>
    </row>
    <row r="100" spans="1:2">
      <c r="A100" s="59">
        <f>$C$26+0.005+0.0025*20</f>
        <v>0.09</v>
      </c>
      <c r="B100" s="52">
        <f>(SUMPRODUCT(($F$31:$O$31)/(1+$A100)^$F$29:$O$29)+$O$6*((1+$C$26)*$C$36-Zalozenia!$B$35*$C$26)/($A100-$C$26)/(1+$A100)^$O$29-C52)/C54</f>
        <v>113.36611607473324</v>
      </c>
    </row>
    <row r="101" spans="1:2">
      <c r="A101" s="59">
        <f>$C$26+0.005+0.0025*21</f>
        <v>0.0925</v>
      </c>
      <c r="B101" s="52">
        <f>(SUMPRODUCT(($F$31:$O$31)/(1+$A101)^$F$29:$O$29)+$O$6*((1+$C$26)*$C$36-Zalozenia!$B$35*$C$26)/($A101-$C$26)/(1+$A101)^$O$29-C52)/C54</f>
        <v>108.36949094905431</v>
      </c>
    </row>
    <row r="102" spans="1:2">
      <c r="A102" s="59">
        <f>$C$26+0.005+0.0025*22</f>
        <v>0.095</v>
      </c>
      <c r="B102" s="52">
        <f>(SUMPRODUCT(($F$31:$O$31)/(1+$A102)^$F$29:$O$29)+$O$6*((1+$C$26)*$C$36-Zalozenia!$B$35*$C$26)/($A102-$C$26)/(1+$A102)^$O$29-C52)/C54</f>
        <v>103.79021492363138</v>
      </c>
    </row>
    <row r="103" spans="1:2">
      <c r="A103" s="59">
        <f>$C$26+0.005+0.0025*23</f>
        <v>0.0975</v>
      </c>
      <c r="B103" s="52">
        <f>(SUMPRODUCT(($F$31:$O$31)/(1+$A103)^$F$29:$O$29)+$O$6*((1+$C$26)*$C$36-Zalozenia!$B$35*$C$26)/($A103-$C$26)/(1+$A103)^$O$29-C52)/C54</f>
        <v>99.5781950372844</v>
      </c>
    </row>
    <row r="104" spans="1:2">
      <c r="A104" s="59">
        <f>$C$26+0.005+0.0025*24</f>
        <v>0.1</v>
      </c>
      <c r="B104" s="52">
        <f>(SUMPRODUCT(($F$31:$O$31)/(1+$A104)^$F$29:$O$29)+$O$6*((1+$C$26)*$C$36-Zalozenia!$B$35*$C$26)/($A104-$C$26)/(1+$A104)^$O$29-C52)/C54</f>
        <v>95.69104507409789</v>
      </c>
    </row>
    <row r="105" spans="1:2">
      <c r="A105" s="59">
        <f>$C$26+0.005+0.0025*25</f>
        <v>0.10250000000000001</v>
      </c>
      <c r="B105" s="52">
        <f>(SUMPRODUCT(($F$31:$O$31)/(1+$A105)^$F$29:$O$29)+$O$6*((1+$C$26)*$C$36-Zalozenia!$B$35*$C$26)/($A105-$C$26)/(1+$A105)^$O$29-C52)/C54</f>
        <v>92.092658386747</v>
      </c>
    </row>
    <row r="106" spans="1:2">
      <c r="A106" s="59">
        <f>$C$26+0.005+0.0025*26</f>
        <v>0.10500000000000001</v>
      </c>
      <c r="B106" s="52">
        <f>(SUMPRODUCT(($F$31:$O$31)/(1+$A106)^$F$29:$O$29)+$O$6*((1+$C$26)*$C$36-Zalozenia!$B$35*$C$26)/($A106-$C$26)/(1+$A106)^$O$29-C52)/C54</f>
        <v>88.7520865434081</v>
      </c>
    </row>
    <row r="107" spans="1:2">
      <c r="A107" s="59">
        <f>$C$26+0.005+0.0025*27</f>
        <v>0.10750000000000001</v>
      </c>
      <c r="B107" s="52">
        <f>(SUMPRODUCT(($F$31:$O$31)/(1+$A107)^$F$29:$O$29)+$O$6*((1+$C$26)*$C$36-Zalozenia!$B$35*$C$26)/($A107-$C$26)/(1+$A107)^$O$29-C52)/C54</f>
        <v>85.64264997877046</v>
      </c>
    </row>
    <row r="108" spans="1:2">
      <c r="A108" s="59">
        <f>$C$26+0.005+0.0025*28</f>
        <v>0.11000000000000001</v>
      </c>
      <c r="B108" s="52">
        <f>(SUMPRODUCT(($F$31:$O$31)/(1+$A108)^$F$29:$O$29)+$O$6*((1+$C$26)*$C$36-Zalozenia!$B$35*$C$26)/($A108-$C$26)/(1+$A108)^$O$29-C52)/C54</f>
        <v>82.74122651485784</v>
      </c>
    </row>
    <row r="109" spans="1:2">
      <c r="A109" s="59">
        <f>$C$26+0.005+0.0025*29</f>
        <v>0.11249999999999999</v>
      </c>
      <c r="B109" s="52">
        <f>(SUMPRODUCT(($F$31:$O$31)/(1+$A109)^$F$29:$O$29)+$O$6*((1+$C$26)*$C$36-Zalozenia!$B$35*$C$26)/($A109-$C$26)/(1+$A109)^$O$29-C52)/C54</f>
        <v>80.02767758750996</v>
      </c>
    </row>
    <row r="110" spans="1:2">
      <c r="A110" s="59">
        <f>$C$26+0.005+0.0025*30</f>
        <v>0.11499999999999999</v>
      </c>
      <c r="B110" s="52">
        <f>(SUMPRODUCT(($F$31:$O$31)/(1+$A110)^$F$29:$O$29)+$O$6*((1+$C$26)*$C$36-Zalozenia!$B$35*$C$26)/($A110-$C$26)/(1+$A110)^$O$29-C52)/C54</f>
        <v>77.48438205540977</v>
      </c>
    </row>
    <row r="111" spans="1:2">
      <c r="A111" s="59">
        <f>$C$26+0.005+0.0025*31</f>
        <v>0.1175</v>
      </c>
      <c r="B111" s="52">
        <f>(SUMPRODUCT(($F$31:$O$31)/(1+$A111)^$F$29:$O$29)+$O$6*((1+$C$26)*$C$36-Zalozenia!$B$35*$C$26)/($A111-$C$26)/(1+$A111)^$O$29-C52)/C54</f>
        <v>75.09585477111888</v>
      </c>
    </row>
    <row r="112" spans="1:2">
      <c r="A112" s="59">
        <f>$C$26+0.005+0.0025*32</f>
        <v>0.12</v>
      </c>
      <c r="B112" s="52">
        <f>(SUMPRODUCT(($F$31:$O$31)/(1+$A112)^$F$29:$O$29)+$O$6*((1+$C$26)*$C$36-Zalozenia!$B$35*$C$26)/($A112-$C$26)/(1+$A112)^$O$29-C52)/C54</f>
        <v>72.84843246311742</v>
      </c>
    </row>
    <row r="113" spans="1:2">
      <c r="A113" s="59">
        <f>$C$26+0.005+0.0025*33</f>
        <v>0.1225</v>
      </c>
      <c r="B113" s="52">
        <f>(SUMPRODUCT(($F$31:$O$31)/(1+$A113)^$F$29:$O$29)+$O$6*((1+$C$26)*$C$36-Zalozenia!$B$35*$C$26)/($A113-$C$26)/(1+$A113)^$O$29-C52)/C54</f>
        <v>70.73001346664924</v>
      </c>
    </row>
    <row r="114" spans="1:2">
      <c r="A114" s="59">
        <f>$C$26+0.005+0.0025*34</f>
        <v>0.125</v>
      </c>
      <c r="B114" s="52">
        <f>(SUMPRODUCT(($F$31:$O$31)/(1+$A114)^$F$29:$O$29)+$O$6*((1+$C$26)*$C$36-Zalozenia!$B$35*$C$26)/($A114-$C$26)/(1+$A114)^$O$29-C52)/C54</f>
        <v>68.72984083276972</v>
      </c>
    </row>
    <row r="115" spans="1:2">
      <c r="A115" s="59">
        <f>$C$26+0.005+0.0025*35</f>
        <v>0.1275</v>
      </c>
      <c r="B115" s="52">
        <f>(SUMPRODUCT(($F$31:$O$31)/(1+$A115)^$F$29:$O$29)+$O$6*((1+$C$26)*$C$36-Zalozenia!$B$35*$C$26)/($A115-$C$26)/(1+$A115)^$O$29-C52)/C54</f>
        <v>66.83832060891116</v>
      </c>
    </row>
    <row r="116" spans="1:2">
      <c r="A116" s="59">
        <f>$C$26+0.005+0.0025*36</f>
        <v>0.13</v>
      </c>
      <c r="B116" s="52">
        <f>(SUMPRODUCT(($F$31:$O$31)/(1+$A116)^$F$29:$O$29)+$O$6*((1+$C$26)*$C$36-Zalozenia!$B$35*$C$26)/($A116-$C$26)/(1+$A116)^$O$29-C52)/C54</f>
        <v>65.04686881200092</v>
      </c>
    </row>
    <row r="117" spans="1:2">
      <c r="A117" s="59">
        <f>$C$26+0.005+0.0025*37</f>
        <v>0.1325</v>
      </c>
      <c r="B117" s="52">
        <f>(SUMPRODUCT(($F$31:$O$31)/(1+$A117)^$F$29:$O$29)+$O$6*((1+$C$26)*$C$36-Zalozenia!$B$35*$C$26)/($A117-$C$26)/(1+$A117)^$O$29-C52)/C54</f>
        <v>63.3477819441871</v>
      </c>
    </row>
    <row r="118" spans="1:2">
      <c r="A118" s="59">
        <f>$C$26+0.005+0.0025*38</f>
        <v>0.135</v>
      </c>
      <c r="B118" s="52">
        <f>(SUMPRODUCT(($F$31:$O$31)/(1+$A118)^$F$29:$O$29)+$O$6*((1+$C$26)*$C$36-Zalozenia!$B$35*$C$26)/($A118-$C$26)/(1+$A118)^$O$29-C52)/C54</f>
        <v>61.73412693121613</v>
      </c>
    </row>
    <row r="119" spans="1:2">
      <c r="A119" s="59">
        <f>$C$26+0.005+0.0025*39</f>
        <v>0.1375</v>
      </c>
      <c r="B119" s="52">
        <f>(SUMPRODUCT(($F$31:$O$31)/(1+$A119)^$F$29:$O$29)+$O$6*((1+$C$26)*$C$36-Zalozenia!$B$35*$C$26)/($A119-$C$26)/(1+$A119)^$O$29-C52)/C54</f>
        <v>60.199647167398645</v>
      </c>
    </row>
    <row r="120" spans="1:2">
      <c r="A120" s="59">
        <f>$C$26+0.005+0.0025*40</f>
        <v>0.14</v>
      </c>
      <c r="B120" s="52">
        <f>(SUMPRODUCT(($F$31:$O$31)/(1+$A120)^$F$29:$O$29)+$O$6*((1+$C$26)*$C$36-Zalozenia!$B$35*$C$26)/($A120-$C$26)/(1+$A120)^$O$29-C52)/C54</f>
        <v>58.738681982733326</v>
      </c>
    </row>
    <row r="121" spans="1:2">
      <c r="A121" s="59">
        <f>$C$26+0.005+0.0025*41</f>
        <v>0.14250000000000002</v>
      </c>
      <c r="B121" s="52">
        <f>(SUMPRODUCT(($F$31:$O$31)/(1+$A121)^$F$29:$O$29)+$O$6*((1+$C$26)*$C$36-Zalozenia!$B$35*$C$26)/($A121-$C$26)/(1+$A121)^$O$29-C52)/C54</f>
        <v>57.34609734718626</v>
      </c>
    </row>
    <row r="122" spans="1:2">
      <c r="A122" s="59">
        <f>$C$26+0.005+0.0025*42</f>
        <v>0.145</v>
      </c>
      <c r="B122" s="52">
        <f>(SUMPRODUCT(($F$31:$O$31)/(1+$A122)^$F$29:$O$29)+$O$6*((1+$C$26)*$C$36-Zalozenia!$B$35*$C$26)/($A122-$C$26)/(1+$A122)^$O$29-C52)/C54</f>
        <v>56.017226024395235</v>
      </c>
    </row>
    <row r="123" spans="1:2">
      <c r="A123" s="59">
        <f>$C$26+0.005+0.0025*43</f>
        <v>0.1475</v>
      </c>
      <c r="B123" s="52">
        <f>(SUMPRODUCT(($F$31:$O$31)/(1+$A123)^$F$29:$O$29)+$O$6*((1+$C$26)*$C$36-Zalozenia!$B$35*$C$26)/($A123-$C$26)/(1+$A123)^$O$29-C52)/C54</f>
        <v>54.74781570489023</v>
      </c>
    </row>
    <row r="124" spans="1:2">
      <c r="A124" s="59">
        <f>$C$26+0.005+0.0025*44</f>
        <v>0.15</v>
      </c>
      <c r="B124" s="52">
        <f>(SUMPRODUCT(($F$31:$O$31)/(1+$A124)^$F$29:$O$29)+$O$6*((1+$C$26)*$C$36-Zalozenia!$B$35*$C$26)/($A124-$C$26)/(1+$A124)^$O$29-C52)/C54</f>
        <v>53.53398390455454</v>
      </c>
    </row>
    <row r="125" spans="1:2">
      <c r="A125" s="59">
        <f>$C$26+0.005+0.0025*45</f>
        <v>0.1525</v>
      </c>
      <c r="B125" s="52">
        <f>(SUMPRODUCT(($F$31:$O$31)/(1+$A125)^$F$29:$O$29)+$O$6*((1+$C$26)*$C$36-Zalozenia!$B$35*$C$26)/($A125-$C$26)/(1+$A125)^$O$29-C52)/C54</f>
        <v>52.3721786207382</v>
      </c>
    </row>
    <row r="126" spans="1:2">
      <c r="A126" s="59">
        <f>$C$26+0.005+0.0025*46</f>
        <v>0.155</v>
      </c>
      <c r="B126" s="52">
        <f>(SUMPRODUCT(($F$31:$O$31)/(1+$A126)^$F$29:$O$29)+$O$6*((1+$C$26)*$C$36-Zalozenia!$B$35*$C$26)/($A126-$C$26)/(1+$A126)^$O$29-C52)/C54</f>
        <v>51.259143906365814</v>
      </c>
    </row>
    <row r="127" spans="1:2">
      <c r="A127" s="59">
        <f>$C$26+0.005+0.0025*47</f>
        <v>0.1575</v>
      </c>
      <c r="B127" s="52">
        <f>(SUMPRODUCT(($F$31:$O$31)/(1+$A127)^$F$29:$O$29)+$O$6*((1+$C$26)*$C$36-Zalozenia!$B$35*$C$26)/($A127-$C$26)/(1+$A127)^$O$29-C52)/C54</f>
        <v>50.19188965946794</v>
      </c>
    </row>
    <row r="128" spans="1:2">
      <c r="A128" s="59">
        <f>$C$26+0.005+0.0025*48</f>
        <v>0.16</v>
      </c>
      <c r="B128" s="52">
        <f>(SUMPRODUCT(($F$31:$O$31)/(1+$A128)^$F$29:$O$29)+$O$6*((1+$C$26)*$C$36-Zalozenia!$B$35*$C$26)/($A128-$C$26)/(1+$A128)^$O$29-C52)/C54</f>
        <v>49.16766503797721</v>
      </c>
    </row>
    <row r="130" spans="1:1">
      <c r="A130" s="2" t="s">
        <v>192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30"/>
  <sheetViews>
    <sheetView showGridLine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/>
  <cols>
    <col min="1" max="1" width="54.7109375" customWidth="1"/>
    <col min="2" max="2" width="12.7109375" customWidth="1"/>
    <col min="3" max="16" width="11.7109375" customWidth="1"/>
  </cols>
  <sheetData>
    <row r="1" spans="1:16">
      <c r="A1" s="1" t="s">
        <v>193</v>
      </c>
    </row>
    <row r="2" spans="1:16">
      <c r="A2" s="2" t="str">
        <f>Zalozenia!$B$5&amp;" ("&amp;Zalozenia!$B$6&amp;"), kwoty w "&amp;Zalozenia!$B$7&amp;"; lata 1–5 z założeń, lata 6–10 wygaszanie do stanu ustalonego."</f>
        <v>ServiceNow, Inc. (NOW), kwoty w mln USD; lata 1–5 z założeń, lata 6–10 wygaszanie do stanu ustalonego.</v>
      </c>
    </row>
    <row r="3" spans="1:16">
      <c r="C3" s="2" t="s">
        <v>133</v>
      </c>
      <c r="F3" s="2" t="s">
        <v>134</v>
      </c>
      <c r="K3" s="2" t="s">
        <v>135</v>
      </c>
      <c r="P3" s="2" t="s">
        <v>136</v>
      </c>
    </row>
    <row r="4" spans="1:16">
      <c r="A4" s="21" t="s">
        <v>131</v>
      </c>
      <c r="B4" s="18"/>
      <c r="C4" s="19">
        <f>Historia!B3</f>
        <v>2023</v>
      </c>
      <c r="D4" s="19">
        <f>Historia!C3</f>
        <v>2024</v>
      </c>
      <c r="E4" s="19">
        <f>Historia!D3</f>
        <v>2025</v>
      </c>
      <c r="F4" s="19">
        <f>Zalozenia!C$46</f>
        <v>2026.0</v>
      </c>
      <c r="G4" s="19">
        <f>Zalozenia!D$46</f>
        <v>2027.0</v>
      </c>
      <c r="H4" s="19">
        <f>Zalozenia!E$46</f>
        <v>2028.0</v>
      </c>
      <c r="I4" s="19">
        <f>Zalozenia!F$46</f>
        <v>2029.0</v>
      </c>
      <c r="J4" s="19">
        <f>Zalozenia!G$46</f>
        <v>2030.0</v>
      </c>
      <c r="K4" s="19">
        <f>Zalozenia!H$46</f>
        <v>2031.0</v>
      </c>
      <c r="L4" s="19">
        <f>Zalozenia!I$46</f>
        <v>2032.0</v>
      </c>
      <c r="M4" s="19">
        <f>Zalozenia!J$46</f>
        <v>2033.0</v>
      </c>
      <c r="N4" s="19">
        <f>Zalozenia!K$46</f>
        <v>2034.0</v>
      </c>
      <c r="O4" s="19">
        <f>Zalozenia!L$46</f>
        <v>2035.0</v>
      </c>
      <c r="P4" s="18" t="s">
        <v>132</v>
      </c>
    </row>
    <row r="5" spans="1:16">
      <c r="A5" s="7" t="s">
        <v>93</v>
      </c>
      <c r="B5" s="2" t="s">
        <v>137</v>
      </c>
      <c r="D5" s="32" t="str">
        <f>Historia!C5</f>
        <v>n/d</v>
      </c>
      <c r="E5" s="32">
        <f>Historia!D5</f>
        <v>0.20884923525127452</v>
      </c>
      <c r="F5" s="33">
        <f>Zalozenia!C64</f>
        <v>0.22</v>
      </c>
      <c r="G5" s="33">
        <f>Zalozenia!D64</f>
        <v>0.2</v>
      </c>
      <c r="H5" s="33">
        <f>Zalozenia!E64</f>
        <v>0.18</v>
      </c>
      <c r="I5" s="33">
        <f>Zalozenia!F64</f>
        <v>0.17</v>
      </c>
      <c r="J5" s="33">
        <f>Zalozenia!G64</f>
        <v>0.16</v>
      </c>
      <c r="K5" s="33">
        <f>Zalozenia!H64</f>
        <v>0.136</v>
      </c>
      <c r="L5" s="33">
        <f>Zalozenia!I64</f>
        <v>0.112</v>
      </c>
      <c r="M5" s="33">
        <f>Zalozenia!J64</f>
        <v>0.08800000000000001</v>
      </c>
      <c r="N5" s="33">
        <f>Zalozenia!K64</f>
        <v>0.064</v>
      </c>
      <c r="O5" s="33">
        <f>Zalozenia!L64</f>
        <v>0.04000000000000001</v>
      </c>
      <c r="P5" s="34">
        <f>$C$26</f>
        <v>0.04</v>
      </c>
    </row>
    <row r="6" spans="1:16">
      <c r="A6" s="35" t="s">
        <v>108</v>
      </c>
      <c r="B6" s="2" t="s">
        <v>25</v>
      </c>
      <c r="C6" s="36" t="str">
        <f>Historia!B4</f>
        <v>n/d</v>
      </c>
      <c r="D6" s="36">
        <f>Historia!C4</f>
        <v>10984</v>
      </c>
      <c r="E6" s="36">
        <f>Historia!D4</f>
        <v>13278</v>
      </c>
      <c r="F6" s="37">
        <f>E6*(1+F5)</f>
        <v>16199.16</v>
      </c>
      <c r="G6" s="37">
        <f>F6*(1+G5)</f>
        <v>19438.992</v>
      </c>
      <c r="H6" s="37">
        <f>G6*(1+H5)</f>
        <v>22938.010559999995</v>
      </c>
      <c r="I6" s="37">
        <f>H6*(1+I5)</f>
        <v>26837.472355199992</v>
      </c>
      <c r="J6" s="37">
        <f>I6*(1+J5)</f>
        <v>31131.46793203199</v>
      </c>
      <c r="K6" s="37">
        <f>J6*(1+K5)</f>
        <v>35365.34757078834</v>
      </c>
      <c r="L6" s="37">
        <f>K6*(1+L5)</f>
        <v>39326.266498716635</v>
      </c>
      <c r="M6" s="37">
        <f>L6*(1+M5)</f>
        <v>42786.9779506037</v>
      </c>
      <c r="N6" s="37">
        <f>M6*(1+N5)</f>
        <v>45525.34453944234</v>
      </c>
      <c r="O6" s="37">
        <f>N6*(1+O5)</f>
        <v>47346.35832102004</v>
      </c>
      <c r="P6" s="37">
        <f>O6*(1+P5)</f>
        <v>49240.21265386084</v>
      </c>
    </row>
    <row r="7" spans="1:16">
      <c r="A7" s="7" t="s">
        <v>94</v>
      </c>
      <c r="B7" s="2" t="s">
        <v>137</v>
      </c>
      <c r="C7" s="28" t="str">
        <f>IF(AND(ISNUMBER(C8),ISNUMBER(C6)),C8/C6,"n/d")</f>
        <v>n/d</v>
      </c>
      <c r="D7" s="28" t="str">
        <f>IF(AND(ISNUMBER(D8),ISNUMBER(D6)),D8/D6,"n/d")</f>
        <v>n/d</v>
      </c>
      <c r="E7" s="28">
        <f>IF(AND(ISNUMBER(E8),ISNUMBER(E6)),E8/E6,"n/d")</f>
        <v>0.192950745594216</v>
      </c>
      <c r="F7" s="33">
        <f>Zalozenia!C65</f>
        <v>0.375</v>
      </c>
      <c r="G7" s="33">
        <f>Zalozenia!D65</f>
        <v>0.381</v>
      </c>
      <c r="H7" s="33">
        <f>Zalozenia!E65</f>
        <v>0.388</v>
      </c>
      <c r="I7" s="33">
        <f>Zalozenia!F65</f>
        <v>0.394</v>
      </c>
      <c r="J7" s="33">
        <f>Zalozenia!G65</f>
        <v>0.4</v>
      </c>
      <c r="K7" s="33">
        <f>Zalozenia!H65</f>
        <v>0.4</v>
      </c>
      <c r="L7" s="33">
        <f>Zalozenia!I65</f>
        <v>0.4</v>
      </c>
      <c r="M7" s="33">
        <f>Zalozenia!J65</f>
        <v>0.4</v>
      </c>
      <c r="N7" s="33">
        <f>Zalozenia!K65</f>
        <v>0.4</v>
      </c>
      <c r="O7" s="33">
        <f>Zalozenia!L65</f>
        <v>0.4</v>
      </c>
      <c r="P7" s="34">
        <f>O7</f>
        <v>0.4</v>
      </c>
    </row>
    <row r="8" spans="1:16">
      <c r="A8" s="35" t="s">
        <v>110</v>
      </c>
      <c r="B8" s="2" t="s">
        <v>25</v>
      </c>
      <c r="C8" s="36" t="str">
        <f>Historia!B6</f>
        <v>n/d</v>
      </c>
      <c r="D8" s="36" t="str">
        <f>Historia!C6</f>
        <v>n/d</v>
      </c>
      <c r="E8" s="36">
        <f>Historia!D6</f>
        <v>2562</v>
      </c>
      <c r="F8" s="37">
        <f>F6*F7</f>
        <v>6074.6849999999995</v>
      </c>
      <c r="G8" s="37">
        <f>G6*G7</f>
        <v>7406.2559519999995</v>
      </c>
      <c r="H8" s="37">
        <f>H6*H7</f>
        <v>8899.94809728</v>
      </c>
      <c r="I8" s="37">
        <f>I6*I7</f>
        <v>10573.964107948797</v>
      </c>
      <c r="J8" s="37">
        <f>J6*J7</f>
        <v>12452.587172812797</v>
      </c>
      <c r="K8" s="37">
        <f>K6*K7</f>
        <v>14146.139028315338</v>
      </c>
      <c r="L8" s="37">
        <f>L6*L7</f>
        <v>15730.506599486655</v>
      </c>
      <c r="M8" s="37">
        <f>M6*M7</f>
        <v>17114.791180241482</v>
      </c>
      <c r="N8" s="37">
        <f>N6*N7</f>
        <v>18210.137815776936</v>
      </c>
      <c r="O8" s="37">
        <f>O6*O7</f>
        <v>18938.543328408017</v>
      </c>
      <c r="P8" s="37">
        <f>P6*P7</f>
        <v>19696.085061544338</v>
      </c>
    </row>
    <row r="9" spans="1:16">
      <c r="A9" s="7" t="s">
        <v>83</v>
      </c>
      <c r="B9" s="2" t="s">
        <v>137</v>
      </c>
      <c r="C9" s="28" t="str">
        <f>IF(AND(ISNUMBER(C10),ISNUMBER(C6)),C10/C6,"n/d")</f>
        <v>n/d</v>
      </c>
      <c r="D9" s="28" t="str">
        <f>IF(AND(ISNUMBER(D10),ISNUMBER(D6)),D10/D6,"n/d")</f>
        <v>n/d</v>
      </c>
      <c r="E9" s="28">
        <f>IF(AND(ISNUMBER(E10),ISNUMBER(E6)),E10/E6,"n/d")</f>
        <v>0.05558065973791233</v>
      </c>
      <c r="F9" s="33">
        <f>Zalozenia!C$47</f>
        <v>0.055</v>
      </c>
      <c r="G9" s="33">
        <f>Zalozenia!D$47</f>
        <v>0.055</v>
      </c>
      <c r="H9" s="33">
        <f>Zalozenia!E$47</f>
        <v>0.055</v>
      </c>
      <c r="I9" s="33">
        <f>Zalozenia!F$47</f>
        <v>0.055</v>
      </c>
      <c r="J9" s="33">
        <f>Zalozenia!G$47</f>
        <v>0.055</v>
      </c>
      <c r="K9" s="33">
        <f>Zalozenia!H$47</f>
        <v>0.054</v>
      </c>
      <c r="L9" s="33">
        <f>Zalozenia!I$47</f>
        <v>0.053</v>
      </c>
      <c r="M9" s="33">
        <f>Zalozenia!J$47</f>
        <v>0.052000000000000005</v>
      </c>
      <c r="N9" s="33">
        <f>Zalozenia!K$47</f>
        <v>0.051000000000000004</v>
      </c>
      <c r="O9" s="33">
        <f>Zalozenia!L$47</f>
        <v>0.05</v>
      </c>
      <c r="P9" s="33">
        <f>Zalozenia!$B$37</f>
        <v>0.05</v>
      </c>
    </row>
    <row r="10" spans="1:16">
      <c r="A10" s="7" t="s">
        <v>112</v>
      </c>
      <c r="B10" s="2" t="s">
        <v>25</v>
      </c>
      <c r="C10" s="38" t="str">
        <f>Historia!B8</f>
        <v>n/d</v>
      </c>
      <c r="D10" s="38" t="str">
        <f>Historia!C8</f>
        <v>n/d</v>
      </c>
      <c r="E10" s="38">
        <f>Historia!D8</f>
        <v>738</v>
      </c>
      <c r="F10" s="15">
        <f>F6*F9</f>
        <v>890.9538</v>
      </c>
      <c r="G10" s="15">
        <f>G6*G9</f>
        <v>1069.14456</v>
      </c>
      <c r="H10" s="15">
        <f>H6*H9</f>
        <v>1261.5905807999998</v>
      </c>
      <c r="I10" s="15">
        <f>I6*I9</f>
        <v>1476.0609795359996</v>
      </c>
      <c r="J10" s="15">
        <f>J6*J9</f>
        <v>1712.2307362617594</v>
      </c>
      <c r="K10" s="15">
        <f>K6*K9</f>
        <v>1909.7287688225704</v>
      </c>
      <c r="L10" s="15">
        <f>L6*L9</f>
        <v>2084.2921244319814</v>
      </c>
      <c r="M10" s="15">
        <f>M6*M9</f>
        <v>2224.9228534313925</v>
      </c>
      <c r="N10" s="15">
        <f>N6*N9</f>
        <v>2321.7925715115593</v>
      </c>
      <c r="O10" s="15">
        <f>O6*O9</f>
        <v>2367.317916051002</v>
      </c>
      <c r="P10" s="15">
        <f>P6*P9</f>
        <v>2462.010632693042</v>
      </c>
    </row>
    <row r="11" spans="1:16">
      <c r="A11" s="7" t="s">
        <v>115</v>
      </c>
      <c r="B11" s="2" t="s">
        <v>25</v>
      </c>
      <c r="C11" s="29" t="str">
        <f>IF(AND(ISNUMBER(C8),ISNUMBER(C10)),C8-C10,"n/d")</f>
        <v>n/d</v>
      </c>
      <c r="D11" s="29" t="str">
        <f>IF(AND(ISNUMBER(D8),ISNUMBER(D10)),D8-D10,"n/d")</f>
        <v>n/d</v>
      </c>
      <c r="E11" s="29">
        <f>IF(AND(ISNUMBER(E8),ISNUMBER(E10)),E8-E10,"n/d")</f>
        <v>1824.0</v>
      </c>
      <c r="F11" s="15">
        <f>F8-F10</f>
        <v>5183.731199999999</v>
      </c>
      <c r="G11" s="15">
        <f>G8-G10</f>
        <v>6337.111392</v>
      </c>
      <c r="H11" s="15">
        <f>H8-H10</f>
        <v>7638.3575164799995</v>
      </c>
      <c r="I11" s="15">
        <f>I8-I10</f>
        <v>9097.903128412798</v>
      </c>
      <c r="J11" s="15">
        <f>J8-J10</f>
        <v>10740.356436551037</v>
      </c>
      <c r="K11" s="15">
        <f>K8-K10</f>
        <v>12236.410259492768</v>
      </c>
      <c r="L11" s="15">
        <f>L8-L10</f>
        <v>13646.214475054672</v>
      </c>
      <c r="M11" s="15">
        <f>M8-M10</f>
        <v>14889.86832681009</v>
      </c>
      <c r="N11" s="15">
        <f>N8-N10</f>
        <v>15888.345244265376</v>
      </c>
      <c r="O11" s="15">
        <f>O8-O10</f>
        <v>16571.225412357016</v>
      </c>
      <c r="P11" s="15">
        <f>P8-P10</f>
        <v>17234.074428851294</v>
      </c>
    </row>
    <row r="12" spans="1:16">
      <c r="A12" s="7" t="s">
        <v>89</v>
      </c>
      <c r="B12" s="2" t="s">
        <v>137</v>
      </c>
      <c r="F12" s="33">
        <f>Zalozenia!C$50</f>
        <v>0.21</v>
      </c>
      <c r="G12" s="33">
        <f>Zalozenia!D$50</f>
        <v>0.21</v>
      </c>
      <c r="H12" s="33">
        <f>Zalozenia!E$50</f>
        <v>0.21</v>
      </c>
      <c r="I12" s="33">
        <f>Zalozenia!F$50</f>
        <v>0.21</v>
      </c>
      <c r="J12" s="33">
        <f>Zalozenia!G$50</f>
        <v>0.21</v>
      </c>
      <c r="K12" s="33">
        <f>Zalozenia!H$50</f>
        <v>0.21</v>
      </c>
      <c r="L12" s="33">
        <f>Zalozenia!I$50</f>
        <v>0.21</v>
      </c>
      <c r="M12" s="33">
        <f>Zalozenia!J$50</f>
        <v>0.21</v>
      </c>
      <c r="N12" s="33">
        <f>Zalozenia!K$50</f>
        <v>0.21</v>
      </c>
      <c r="O12" s="33">
        <f>Zalozenia!L$50</f>
        <v>0.21</v>
      </c>
      <c r="P12" s="33">
        <f>Zalozenia!$B$12</f>
        <v>0.21</v>
      </c>
    </row>
    <row r="13" spans="1:16">
      <c r="A13" s="7" t="s">
        <v>138</v>
      </c>
      <c r="B13" s="2" t="s">
        <v>25</v>
      </c>
      <c r="F13" s="15">
        <f>MAX(0,F11)*F12</f>
        <v>1088.5835519999998</v>
      </c>
      <c r="G13" s="15">
        <f>MAX(0,G11)*G12</f>
        <v>1330.7933923199998</v>
      </c>
      <c r="H13" s="15">
        <f>MAX(0,H11)*H12</f>
        <v>1604.0550784608</v>
      </c>
      <c r="I13" s="15">
        <f>MAX(0,I11)*I12</f>
        <v>1910.5596569666875</v>
      </c>
      <c r="J13" s="15">
        <f>MAX(0,J11)*J12</f>
        <v>2255.4748516757177</v>
      </c>
      <c r="K13" s="15">
        <f>MAX(0,K11)*K12</f>
        <v>2569.6461544934814</v>
      </c>
      <c r="L13" s="15">
        <f>MAX(0,L11)*L12</f>
        <v>2865.705039761481</v>
      </c>
      <c r="M13" s="15">
        <f>MAX(0,M11)*M12</f>
        <v>3126.8723486301187</v>
      </c>
      <c r="N13" s="15">
        <f>MAX(0,N11)*N12</f>
        <v>3336.5525012957287</v>
      </c>
      <c r="O13" s="15">
        <f>MAX(0,O11)*O12</f>
        <v>3479.957336594973</v>
      </c>
      <c r="P13" s="15">
        <f>MAX(0,P11)*P12</f>
        <v>3619.1556300587717</v>
      </c>
    </row>
    <row r="14" spans="1:16">
      <c r="A14" s="7" t="s">
        <v>139</v>
      </c>
      <c r="B14" s="2" t="s">
        <v>25</v>
      </c>
      <c r="F14" s="15">
        <f>F11-F13</f>
        <v>4095.147647999999</v>
      </c>
      <c r="G14" s="15">
        <f>G11-G13</f>
        <v>5006.31799968</v>
      </c>
      <c r="H14" s="15">
        <f>H11-H13</f>
        <v>6034.3024380192</v>
      </c>
      <c r="I14" s="15">
        <f>I11-I13</f>
        <v>7187.34347144611</v>
      </c>
      <c r="J14" s="15">
        <f>J11-J13</f>
        <v>8484.88158487532</v>
      </c>
      <c r="K14" s="15">
        <f>K11-K13</f>
        <v>9666.764104999287</v>
      </c>
      <c r="L14" s="15">
        <f>L11-L13</f>
        <v>10780.509435293192</v>
      </c>
      <c r="M14" s="15">
        <f>M11-M13</f>
        <v>11762.995978179972</v>
      </c>
      <c r="N14" s="15">
        <f>N11-N13</f>
        <v>12551.792742969646</v>
      </c>
      <c r="O14" s="15">
        <f>O11-O13</f>
        <v>13091.268075762044</v>
      </c>
      <c r="P14" s="15">
        <f>P11-P13</f>
        <v>13614.918798792522</v>
      </c>
    </row>
    <row r="15" spans="1:16">
      <c r="A15" s="7" t="s">
        <v>140</v>
      </c>
      <c r="B15" s="2" t="s">
        <v>25</v>
      </c>
      <c r="F15" s="15">
        <f>F10</f>
        <v>890.9538</v>
      </c>
      <c r="G15" s="15">
        <f>G10</f>
        <v>1069.14456</v>
      </c>
      <c r="H15" s="15">
        <f>H10</f>
        <v>1261.5905807999998</v>
      </c>
      <c r="I15" s="15">
        <f>I10</f>
        <v>1476.0609795359996</v>
      </c>
      <c r="J15" s="15">
        <f>J10</f>
        <v>1712.2307362617594</v>
      </c>
      <c r="K15" s="15">
        <f>K10</f>
        <v>1909.7287688225704</v>
      </c>
      <c r="L15" s="15">
        <f>L10</f>
        <v>2084.2921244319814</v>
      </c>
      <c r="M15" s="15">
        <f>M10</f>
        <v>2224.9228534313925</v>
      </c>
      <c r="N15" s="15">
        <f>N10</f>
        <v>2321.7925715115593</v>
      </c>
      <c r="O15" s="15">
        <f>O10</f>
        <v>2367.317916051002</v>
      </c>
      <c r="P15" s="15">
        <f>P10</f>
        <v>2462.010632693042</v>
      </c>
    </row>
    <row r="16" spans="1:16">
      <c r="A16" s="7" t="s">
        <v>141</v>
      </c>
      <c r="B16" s="2" t="s">
        <v>25</v>
      </c>
      <c r="C16" s="38" t="str">
        <f>Historia!B12</f>
        <v>n/d</v>
      </c>
      <c r="D16" s="38" t="str">
        <f>Historia!C12</f>
        <v>n/d</v>
      </c>
      <c r="E16" s="38">
        <f>Historia!D12</f>
        <v>868</v>
      </c>
      <c r="F16" s="15">
        <f>F6*Zalozenia!C$48</f>
        <v>971.9495999999999</v>
      </c>
      <c r="G16" s="15">
        <f>G6*Zalozenia!D$48</f>
        <v>1127.461536</v>
      </c>
      <c r="H16" s="15">
        <f>H6*Zalozenia!E$48</f>
        <v>1284.5285913599998</v>
      </c>
      <c r="I16" s="15">
        <f>I6*Zalozenia!F$48</f>
        <v>1449.2235071807995</v>
      </c>
      <c r="J16" s="15">
        <f>J6*Zalozenia!G$48</f>
        <v>1618.8363324656634</v>
      </c>
      <c r="K16" s="15">
        <f>K6*Zalozenia!H$48</f>
        <v>1860.2172822234668</v>
      </c>
      <c r="L16" s="15">
        <f>L6*Zalozenia!I$48</f>
        <v>2092.1573777317253</v>
      </c>
      <c r="M16" s="15">
        <f>M6*Zalozenia!J$48</f>
        <v>2301.9394137424792</v>
      </c>
      <c r="N16" s="15">
        <f>N6*Zalozenia!K$48</f>
        <v>2476.5787429456636</v>
      </c>
      <c r="O16" s="15">
        <f>O6*Zalozenia!L$48</f>
        <v>2604.0497076561023</v>
      </c>
      <c r="P16" s="15">
        <f>P10*Zalozenia!$B$36</f>
        <v>2708.2116959623468</v>
      </c>
    </row>
    <row r="17" spans="1:16">
      <c r="A17" s="7" t="s">
        <v>142</v>
      </c>
      <c r="B17" s="2" t="s">
        <v>25</v>
      </c>
      <c r="F17" s="15">
        <f>F6*Zalozenia!C$49</f>
        <v>0.0</v>
      </c>
      <c r="G17" s="15">
        <f>G6*Zalozenia!D$49</f>
        <v>0.0</v>
      </c>
      <c r="H17" s="15">
        <f>H6*Zalozenia!E$49</f>
        <v>0.0</v>
      </c>
      <c r="I17" s="15">
        <f>I6*Zalozenia!F$49</f>
        <v>0.0</v>
      </c>
      <c r="J17" s="15">
        <f>J6*Zalozenia!G$49</f>
        <v>0.0</v>
      </c>
      <c r="K17" s="15">
        <f>K6*Zalozenia!H$49</f>
        <v>0.0</v>
      </c>
      <c r="L17" s="15">
        <f>L6*Zalozenia!I$49</f>
        <v>0.0</v>
      </c>
      <c r="M17" s="15">
        <f>M6*Zalozenia!J$49</f>
        <v>0.0</v>
      </c>
      <c r="N17" s="15">
        <f>N6*Zalozenia!K$49</f>
        <v>0.0</v>
      </c>
      <c r="O17" s="15">
        <f>O6*Zalozenia!L$49</f>
        <v>0.0</v>
      </c>
      <c r="P17" s="15">
        <v>0</v>
      </c>
    </row>
    <row r="18" spans="1:16">
      <c r="A18" s="7" t="s">
        <v>143</v>
      </c>
      <c r="B18" s="2" t="s">
        <v>25</v>
      </c>
      <c r="F18" s="15">
        <f>Zalozenia!$B$35*(F6-E6)</f>
        <v>-438.174</v>
      </c>
      <c r="G18" s="15">
        <f>Zalozenia!$B$35*(G6-F6)</f>
        <v>-485.97479999999973</v>
      </c>
      <c r="H18" s="15">
        <f>Zalozenia!$B$35*(H6-G6)</f>
        <v>-524.8527839999995</v>
      </c>
      <c r="I18" s="15">
        <f>Zalozenia!$B$35*(I6-H6)</f>
        <v>-584.9192692799995</v>
      </c>
      <c r="J18" s="15">
        <f>Zalozenia!$B$35*(J6-I6)</f>
        <v>-644.0993365247994</v>
      </c>
      <c r="K18" s="15">
        <f>Zalozenia!$B$35*(K6-J6)</f>
        <v>-635.0819458134529</v>
      </c>
      <c r="L18" s="15">
        <f>Zalozenia!$B$35*(L6-K6)</f>
        <v>-594.1378391892441</v>
      </c>
      <c r="M18" s="15">
        <f>Zalozenia!$B$35*(M6-L6)</f>
        <v>-519.1067177830598</v>
      </c>
      <c r="N18" s="15">
        <f>Zalozenia!$B$35*(N6-M6)</f>
        <v>-410.75498832579575</v>
      </c>
      <c r="O18" s="15">
        <f>Zalozenia!$B$35*(O6-N6)</f>
        <v>-273.15206723665466</v>
      </c>
      <c r="P18" s="15">
        <f>Zalozenia!$B$35*(P6-O6)</f>
        <v>-284.0781499261207</v>
      </c>
    </row>
    <row r="19" spans="1:16">
      <c r="A19" s="35" t="s">
        <v>144</v>
      </c>
      <c r="B19" s="2" t="s">
        <v>25</v>
      </c>
      <c r="F19" s="39">
        <f>F14+F15-F16-F17-F18</f>
        <v>4452.3258479999995</v>
      </c>
      <c r="G19" s="39">
        <f>G14+G15-G16-G17-G18</f>
        <v>5433.97582368</v>
      </c>
      <c r="H19" s="39">
        <f>H14+H15-H16-H17-H18</f>
        <v>6536.2172114591995</v>
      </c>
      <c r="I19" s="39">
        <f>I14+I15-I16-I17-I18</f>
        <v>7799.100213081311</v>
      </c>
      <c r="J19" s="39">
        <f>J14+J15-J16-J17-J18</f>
        <v>9222.375325196215</v>
      </c>
      <c r="K19" s="39">
        <f>K14+K15-K16-K17-K18</f>
        <v>10351.357537411845</v>
      </c>
      <c r="L19" s="39">
        <f>L14+L15-L16-L17-L18</f>
        <v>11366.782021182693</v>
      </c>
      <c r="M19" s="39">
        <f>M14+M15-M16-M17-M18</f>
        <v>12205.086135651945</v>
      </c>
      <c r="N19" s="39">
        <f>N14+N15-N16-N17-N18</f>
        <v>12807.76155986134</v>
      </c>
      <c r="O19" s="39">
        <f>O14+O15-O16-O17-O18</f>
        <v>13127.688351393599</v>
      </c>
      <c r="P19" s="39">
        <f>P14+P15-P16-P17-P18</f>
        <v>13652.795885449337</v>
      </c>
    </row>
    <row r="20" spans="1:16">
      <c r="A20" s="7" t="s">
        <v>145</v>
      </c>
      <c r="B20" s="2" t="s">
        <v>137</v>
      </c>
      <c r="F20" s="34">
        <f>F19/F6</f>
        <v>0.2748491803278688</v>
      </c>
      <c r="G20" s="34">
        <f>G19/G6</f>
        <v>0.27954</v>
      </c>
      <c r="H20" s="34">
        <f>H19/H6</f>
        <v>0.28495135593220344</v>
      </c>
      <c r="I20" s="34">
        <f>I19/I6</f>
        <v>0.2906048717948719</v>
      </c>
      <c r="J20" s="34">
        <f>J19/J6</f>
        <v>0.29623965517241385</v>
      </c>
      <c r="K20" s="34">
        <f>K19/K6</f>
        <v>0.2926977464788733</v>
      </c>
      <c r="L20" s="34">
        <f>L19/L6</f>
        <v>0.2890379136690648</v>
      </c>
      <c r="M20" s="34">
        <f>M19/M6</f>
        <v>0.2852523529411765</v>
      </c>
      <c r="N20" s="34">
        <f>N19/N6</f>
        <v>0.28133255639097743</v>
      </c>
      <c r="O20" s="34">
        <f>O19/O6</f>
        <v>0.2772692307692309</v>
      </c>
      <c r="P20" s="34">
        <f>P19/P6</f>
        <v>0.2772692307692307</v>
      </c>
    </row>
    <row r="22" spans="1:16">
      <c r="A22" s="3" t="s">
        <v>146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7" t="s">
        <v>53</v>
      </c>
      <c r="B23" s="2" t="s">
        <v>137</v>
      </c>
      <c r="C23" s="40">
        <f>Zalozenia!$B$24</f>
        <v>0.0950299</v>
      </c>
    </row>
    <row r="24" spans="1:16">
      <c r="A24" s="7" t="s">
        <v>147</v>
      </c>
      <c r="B24" s="2" t="s">
        <v>148</v>
      </c>
      <c r="C24" s="41">
        <f>Zalozenia!$B$67</f>
        <v>0</v>
      </c>
    </row>
    <row r="25" spans="1:16">
      <c r="A25" s="35" t="s">
        <v>149</v>
      </c>
      <c r="B25" s="2" t="s">
        <v>137</v>
      </c>
      <c r="C25" s="42">
        <f>C23+C24</f>
        <v>0.0950299</v>
      </c>
    </row>
    <row r="26" spans="1:16">
      <c r="A26" s="35" t="s">
        <v>99</v>
      </c>
      <c r="B26" s="2" t="s">
        <v>137</v>
      </c>
      <c r="C26" s="43">
        <f>Zalozenia!$B$68</f>
        <v>0.04</v>
      </c>
    </row>
    <row r="28" spans="1:16">
      <c r="A28" s="7" t="s">
        <v>150</v>
      </c>
      <c r="B28" s="2"/>
      <c r="F28" s="44">
        <f>MIN(1,MAX(0,(DATE(F4,12,31)-Zalozenia!$B$8)/365))</f>
        <v>0.2328767123287671</v>
      </c>
      <c r="G28" s="44">
        <v>1</v>
      </c>
      <c r="H28" s="44">
        <v>1</v>
      </c>
      <c r="I28" s="44">
        <v>1</v>
      </c>
      <c r="J28" s="44">
        <v>1</v>
      </c>
      <c r="K28" s="44">
        <v>1</v>
      </c>
      <c r="L28" s="44">
        <v>1</v>
      </c>
      <c r="M28" s="44">
        <v>1</v>
      </c>
      <c r="N28" s="44">
        <v>1</v>
      </c>
      <c r="O28" s="44">
        <v>1</v>
      </c>
    </row>
    <row r="29" spans="1:16">
      <c r="A29" s="7" t="s">
        <v>151</v>
      </c>
      <c r="B29" s="2" t="s">
        <v>152</v>
      </c>
      <c r="F29" s="44">
        <f>IF(Zalozenia!$B$38=1,F28/2,F28)</f>
        <v>0.11643835616438356</v>
      </c>
      <c r="G29" s="44">
        <f>$F$28+(G$4-$F$4)-IF(Zalozenia!$B$38=1,0.5,0)</f>
        <v>0.7328767123287672</v>
      </c>
      <c r="H29" s="44">
        <f>$F$28+(H$4-$F$4)-IF(Zalozenia!$B$38=1,0.5,0)</f>
        <v>1.7328767123287672</v>
      </c>
      <c r="I29" s="44">
        <f>$F$28+(I$4-$F$4)-IF(Zalozenia!$B$38=1,0.5,0)</f>
        <v>2.732876712328767</v>
      </c>
      <c r="J29" s="44">
        <f>$F$28+(J$4-$F$4)-IF(Zalozenia!$B$38=1,0.5,0)</f>
        <v>3.7328767123287667</v>
      </c>
      <c r="K29" s="44">
        <f>$F$28+(K$4-$F$4)-IF(Zalozenia!$B$38=1,0.5,0)</f>
        <v>4.732876712328767</v>
      </c>
      <c r="L29" s="44">
        <f>$F$28+(L$4-$F$4)-IF(Zalozenia!$B$38=1,0.5,0)</f>
        <v>5.732876712328767</v>
      </c>
      <c r="M29" s="44">
        <f>$F$28+(M$4-$F$4)-IF(Zalozenia!$B$38=1,0.5,0)</f>
        <v>6.732876712328767</v>
      </c>
      <c r="N29" s="44">
        <f>$F$28+(N$4-$F$4)-IF(Zalozenia!$B$38=1,0.5,0)</f>
        <v>7.732876712328768</v>
      </c>
      <c r="O29" s="44">
        <f>$F$28+(O$4-$F$4)-IF(Zalozenia!$B$38=1,0.5,0)</f>
        <v>8.732876712328768</v>
      </c>
    </row>
    <row r="30" spans="1:16">
      <c r="A30" s="7" t="s">
        <v>153</v>
      </c>
      <c r="B30" s="2"/>
      <c r="F30" s="45">
        <f>1/(1+$C$25)^F29</f>
        <v>0.9894852027821971</v>
      </c>
      <c r="G30" s="45">
        <f>1/(1+$C$25)^G29</f>
        <v>0.9356331893884886</v>
      </c>
      <c r="H30" s="45">
        <f>1/(1+$C$25)^H29</f>
        <v>0.854436202507793</v>
      </c>
      <c r="I30" s="45">
        <f>1/(1+$C$25)^I29</f>
        <v>0.7802857278214895</v>
      </c>
      <c r="J30" s="45">
        <f>1/(1+$C$25)^J29</f>
        <v>0.7125702483754001</v>
      </c>
      <c r="K30" s="45">
        <f>1/(1+$C$25)^K29</f>
        <v>0.6507313164466103</v>
      </c>
      <c r="L30" s="45">
        <f>1/(1+$C$25)^L29</f>
        <v>0.5942589480402409</v>
      </c>
      <c r="M30" s="45">
        <f>1/(1+$C$25)^M29</f>
        <v>0.54268741706527</v>
      </c>
      <c r="N30" s="45">
        <f>1/(1+$C$25)^N29</f>
        <v>0.49559141450408783</v>
      </c>
      <c r="O30" s="45">
        <f>1/(1+$C$25)^O29</f>
        <v>0.45258254090056155</v>
      </c>
    </row>
    <row r="31" spans="1:16">
      <c r="A31" s="7" t="s">
        <v>154</v>
      </c>
      <c r="B31" s="2" t="s">
        <v>25</v>
      </c>
      <c r="F31" s="15">
        <f>F19*F28</f>
        <v>1036.84300569863</v>
      </c>
      <c r="G31" s="15">
        <f>G19*G28</f>
        <v>5433.97582368</v>
      </c>
      <c r="H31" s="15">
        <f>H19*H28</f>
        <v>6536.2172114591995</v>
      </c>
      <c r="I31" s="15">
        <f>I19*I28</f>
        <v>7799.100213081311</v>
      </c>
      <c r="J31" s="15">
        <f>J19*J28</f>
        <v>9222.375325196215</v>
      </c>
      <c r="K31" s="15">
        <f>K19*K28</f>
        <v>10351.357537411845</v>
      </c>
      <c r="L31" s="15">
        <f>L19*L28</f>
        <v>11366.782021182693</v>
      </c>
      <c r="M31" s="15">
        <f>M19*M28</f>
        <v>12205.086135651945</v>
      </c>
      <c r="N31" s="15">
        <f>N19*N28</f>
        <v>12807.76155986134</v>
      </c>
      <c r="O31" s="15">
        <f>O19*O28</f>
        <v>13127.688351393599</v>
      </c>
    </row>
    <row r="32" spans="1:16">
      <c r="A32" s="35" t="s">
        <v>155</v>
      </c>
      <c r="B32" s="2" t="s">
        <v>25</v>
      </c>
      <c r="F32" s="37">
        <f>F31*F30</f>
        <v>1025.9408117470116</v>
      </c>
      <c r="G32" s="37">
        <f>G31*G30</f>
        <v>5084.208130969658</v>
      </c>
      <c r="H32" s="37">
        <f>H31*H30</f>
        <v>5584.780612925274</v>
      </c>
      <c r="I32" s="37">
        <f>I31*I30</f>
        <v>6085.526586116885</v>
      </c>
      <c r="J32" s="37">
        <f>J31*J30</f>
        <v>6571.590276086228</v>
      </c>
      <c r="K32" s="37">
        <f>K31*K30</f>
        <v>6735.9525173295515</v>
      </c>
      <c r="L32" s="37">
        <f>L31*L30</f>
        <v>6754.811926510751</v>
      </c>
      <c r="M32" s="37">
        <f>M31*M30</f>
        <v>6623.546670016092</v>
      </c>
      <c r="N32" s="37">
        <f>N31*N30</f>
        <v>6347.416668082764</v>
      </c>
      <c r="O32" s="37">
        <f>O31*O30</f>
        <v>5941.362550224419</v>
      </c>
    </row>
    <row r="34" spans="1:16">
      <c r="A34" s="3" t="s">
        <v>156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46" t="s">
        <v>157</v>
      </c>
      <c r="B35" s="2" t="s">
        <v>25</v>
      </c>
      <c r="C35" s="15">
        <f>P19</f>
        <v>13652.795885449337</v>
      </c>
    </row>
    <row r="36" spans="1:16">
      <c r="A36" s="46" t="s">
        <v>158</v>
      </c>
      <c r="B36" s="2"/>
      <c r="C36" s="45">
        <f>(P7-P9)*(1-Zalozenia!$B$12)+P9-Zalozenia!$B$36*P9</f>
        <v>0.2715</v>
      </c>
    </row>
    <row r="37" spans="1:16">
      <c r="A37" s="46" t="s">
        <v>159</v>
      </c>
      <c r="B37" s="2" t="s">
        <v>25</v>
      </c>
      <c r="C37" s="15">
        <f>C35/($C$25-$C$26)</f>
        <v>248097.77748913478</v>
      </c>
    </row>
    <row r="38" spans="1:16">
      <c r="A38" s="46" t="s">
        <v>160</v>
      </c>
      <c r="B38" s="2"/>
      <c r="C38" s="45">
        <f>O30</f>
        <v>0.45258254090056155</v>
      </c>
    </row>
    <row r="39" spans="1:16">
      <c r="A39" s="35" t="s">
        <v>161</v>
      </c>
      <c r="B39" s="2" t="s">
        <v>25</v>
      </c>
      <c r="C39" s="39">
        <f>C37*C38</f>
        <v>112284.72252781475</v>
      </c>
    </row>
    <row r="40" spans="1:16">
      <c r="A40" s="46" t="s">
        <v>162</v>
      </c>
      <c r="B40" s="2" t="s">
        <v>163</v>
      </c>
      <c r="C40" s="47">
        <f>C37*(1+$C$25)^(0.5*Zalozenia!$B$38)/O8</f>
        <v>13.708479622998587</v>
      </c>
    </row>
    <row r="41" spans="1:16">
      <c r="A41" s="46" t="s">
        <v>164</v>
      </c>
      <c r="B41" s="2" t="s">
        <v>163</v>
      </c>
      <c r="C41" s="48">
        <f>Zalozenia!$B$39</f>
        <v>15</v>
      </c>
    </row>
    <row r="42" spans="1:16">
      <c r="A42" s="46" t="s">
        <v>165</v>
      </c>
      <c r="B42" s="2" t="s">
        <v>25</v>
      </c>
      <c r="C42" s="15">
        <f>C41*O8/(1+$C$25)^(O29+0.5*Zalozenia!$B$38)</f>
        <v>122863.43082799175</v>
      </c>
    </row>
    <row r="43" spans="1:16">
      <c r="A43" s="46" t="s">
        <v>166</v>
      </c>
      <c r="B43" s="2" t="s">
        <v>137</v>
      </c>
      <c r="C43" s="28" t="str">
        <f>IF((P16+P17-P10+P18)&gt;0,$C$26*P14/(P16+P17-P10+P18),"n/d")</f>
        <v>n/d</v>
      </c>
    </row>
    <row r="44" spans="1:16">
      <c r="A44" s="46" t="s">
        <v>167</v>
      </c>
      <c r="B44" s="2" t="s">
        <v>137</v>
      </c>
      <c r="C44" s="28" t="str">
        <f>IF((SUM(F16:N16)+SUM(F17:N17)-SUM(F10:N10)+SUM(F18:N18))&gt;0,(O11-F11)*(1-Zalozenia!$B$12)/(SUM(F16:N16)+SUM(F17:N17)-SUM(F10:N10)+SUM(F18:N18)),"n/d")</f>
        <v>n/d</v>
      </c>
    </row>
    <row r="45" spans="1:16">
      <c r="A45" s="46" t="s">
        <v>168</v>
      </c>
      <c r="B45" s="2" t="s">
        <v>137</v>
      </c>
      <c r="C45" s="34">
        <f>SUM(K32:O32)/C50</f>
        <v>0.1916890517455287</v>
      </c>
    </row>
    <row r="47" spans="1:16">
      <c r="A47" s="3" t="s">
        <v>169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46" t="s">
        <v>170</v>
      </c>
      <c r="B48" s="2" t="s">
        <v>25</v>
      </c>
      <c r="C48" s="15">
        <f>SUM(F32:O32)</f>
        <v>56755.13675000863</v>
      </c>
    </row>
    <row r="49" spans="1:16">
      <c r="A49" s="46" t="s">
        <v>171</v>
      </c>
      <c r="B49" s="2" t="s">
        <v>25</v>
      </c>
      <c r="C49" s="15">
        <f>C39</f>
        <v>112284.72252781475</v>
      </c>
    </row>
    <row r="50" spans="1:16">
      <c r="A50" s="35" t="s">
        <v>172</v>
      </c>
      <c r="B50" s="2" t="s">
        <v>25</v>
      </c>
      <c r="C50" s="39">
        <f>C48+C49</f>
        <v>169039.8592778234</v>
      </c>
    </row>
    <row r="51" spans="1:16">
      <c r="A51" s="46" t="s">
        <v>173</v>
      </c>
      <c r="B51" s="2" t="s">
        <v>137</v>
      </c>
      <c r="C51" s="34">
        <f>C49/C50</f>
        <v>0.664249976351853</v>
      </c>
    </row>
    <row r="52" spans="1:16">
      <c r="A52" s="46" t="s">
        <v>174</v>
      </c>
      <c r="B52" s="2" t="s">
        <v>25</v>
      </c>
      <c r="C52" s="49">
        <f>Zalozenia!$B$32</f>
        <v>810.0</v>
      </c>
    </row>
    <row r="53" spans="1:16">
      <c r="A53" s="35" t="s">
        <v>175</v>
      </c>
      <c r="B53" s="2" t="s">
        <v>25</v>
      </c>
      <c r="C53" s="39">
        <f>C50-C52</f>
        <v>168229.8592778234</v>
      </c>
    </row>
    <row r="54" spans="1:16">
      <c r="A54" s="46" t="s">
        <v>176</v>
      </c>
      <c r="B54" s="2" t="s">
        <v>177</v>
      </c>
      <c r="C54" s="50">
        <f>Zalozenia!$B$10</f>
        <v>1034</v>
      </c>
    </row>
    <row r="55" spans="1:16">
      <c r="A55" s="35" t="s">
        <v>178</v>
      </c>
      <c r="B55" s="2" t="s">
        <v>179</v>
      </c>
      <c r="C55" s="51">
        <f>C53/C54</f>
        <v>162.69812309267252</v>
      </c>
    </row>
    <row r="56" spans="1:16">
      <c r="A56" s="46" t="s">
        <v>180</v>
      </c>
      <c r="B56" s="2" t="s">
        <v>179</v>
      </c>
      <c r="C56" s="50">
        <f>Zalozenia!$B$9</f>
        <v>137.87</v>
      </c>
    </row>
    <row r="57" spans="1:16">
      <c r="A57" s="46" t="s">
        <v>181</v>
      </c>
      <c r="B57" s="2" t="s">
        <v>137</v>
      </c>
      <c r="C57" s="34">
        <f>C55/C56-1</f>
        <v>0.1800835794057627</v>
      </c>
    </row>
    <row r="58" spans="1:16">
      <c r="A58" s="46" t="s">
        <v>182</v>
      </c>
      <c r="B58" s="2" t="s">
        <v>163</v>
      </c>
      <c r="C58" s="47">
        <f>C50/F8</f>
        <v>27.826934117213224</v>
      </c>
    </row>
    <row r="59" spans="1:16">
      <c r="A59" s="46" t="s">
        <v>183</v>
      </c>
      <c r="B59" s="2" t="s">
        <v>179</v>
      </c>
      <c r="C59" s="52">
        <f>(C48+C42-C52)/C54</f>
        <v>172.92898218375277</v>
      </c>
    </row>
    <row r="60" spans="1:16">
      <c r="A60" s="35" t="s">
        <v>184</v>
      </c>
      <c r="B60" s="2" t="s">
        <v>137</v>
      </c>
      <c r="C60" s="53">
        <f>IF(C56&gt;$B$80,"poniżej "&amp;SUBSTITUTE(ROUND($A$80*100,2)&amp;"%",".",","),IF(C56&lt;$B$128,"powyżej "&amp;SUBSTITUTE(ROUND($A$128*100,2)&amp;"%",".",","),INDEX($A$80:$A$128,MATCH(C56,$B$80:$B$128,-1))+(INDEX($B$80:$B$128,MATCH(C56,$B$80:$B$128,-1))-C56)/(INDEX($B$80:$B$128,MATCH(C56,$B$80:$B$128,-1))-INDEX($B$80:$B$128,MATCH(C56,$B$80:$B$128,-1)+1))*0.0025))</f>
        <v>0.1045048615548072</v>
      </c>
    </row>
    <row r="62" spans="1:16">
      <c r="A62" s="3" t="s">
        <v>185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54" t="s">
        <v>186</v>
      </c>
      <c r="C63" s="55">
        <f>$C$26+(-2)*Zalozenia!$B$42</f>
        <v>0.03</v>
      </c>
      <c r="D63" s="55">
        <f>$C$26+(-1)*Zalozenia!$B$42</f>
        <v>0.035</v>
      </c>
      <c r="E63" s="55">
        <f>$C$26+(0)*Zalozenia!$B$42</f>
        <v>0.04</v>
      </c>
      <c r="F63" s="55">
        <f>$C$26+(1)*Zalozenia!$B$42</f>
        <v>0.045</v>
      </c>
      <c r="G63" s="55">
        <f>$C$26+(2)*Zalozenia!$B$42</f>
        <v>0.05</v>
      </c>
    </row>
    <row r="64" spans="1:16">
      <c r="B64" s="55">
        <f>$C$25+(-2)*Zalozenia!$B$41</f>
        <v>0.0850299</v>
      </c>
      <c r="C64" s="56">
        <f>(SUMPRODUCT(($F$31:$O$31)/(1+$B64)^$F$29:$O$29)+$O$6*((1+C$63)*$C$36-Zalozenia!$B$35*C$63)/($B64-C$63)/(1+$B64)^$O$29-C52)/C54</f>
        <v>172.50871427505132</v>
      </c>
      <c r="D64" s="56">
        <f>(SUMPRODUCT(($F$31:$O$31)/(1+$B64)^$F$29:$O$29)+$O$6*((1+D$63)*$C$36-Zalozenia!$B$35*D$63)/($B64-D$63)/(1+$B64)^$O$29-C52)/C54</f>
        <v>185.04067051829085</v>
      </c>
      <c r="E64" s="56">
        <f>(SUMPRODUCT(($F$31:$O$31)/(1+$B64)^$F$29:$O$29)+$O$6*((1+E$63)*$C$36-Zalozenia!$B$35*E$63)/($B64-E$63)/(1+$B64)^$O$29-C52)/C54</f>
        <v>200.355656757875</v>
      </c>
      <c r="F64" s="56">
        <f>(SUMPRODUCT(($F$31:$O$31)/(1+$B64)^$F$29:$O$29)+$O$6*((1+F$63)*$C$36-Zalozenia!$B$35*F$63)/($B64-F$63)/(1+$B64)^$O$29-C52)/C54</f>
        <v>219.49652970703968</v>
      </c>
      <c r="G64" s="56">
        <f>(SUMPRODUCT(($F$31:$O$31)/(1+$B64)^$F$29:$O$29)+$O$6*((1+G$63)*$C$36-Zalozenia!$B$35*G$63)/($B64-G$63)/(1+$B64)^$O$29-C52)/C54</f>
        <v>244.10155555106417</v>
      </c>
    </row>
    <row r="65" spans="1:16">
      <c r="B65" s="55">
        <f>$C$25+(-1)*Zalozenia!$B$41</f>
        <v>0.0900299</v>
      </c>
      <c r="C65" s="56">
        <f>(SUMPRODUCT(($F$31:$O$31)/(1+$B65)^$F$29:$O$29)+$O$6*((1+C$63)*$C$36-Zalozenia!$B$35*C$63)/($B65-C$63)/(1+$B65)^$O$29-C52)/C54</f>
        <v>157.41377967478988</v>
      </c>
      <c r="D65" s="56">
        <f>(SUMPRODUCT(($F$31:$O$31)/(1+$B65)^$F$29:$O$29)+$O$6*((1+D$63)*$C$36-Zalozenia!$B$35*D$63)/($B65-D$63)/(1+$B65)^$O$29-C52)/C54</f>
        <v>167.51588280638623</v>
      </c>
      <c r="E65" s="56">
        <f>(SUMPRODUCT(($F$31:$O$31)/(1+$B65)^$F$29:$O$29)+$O$6*((1+E$63)*$C$36-Zalozenia!$B$35*E$63)/($B65-E$63)/(1+$B65)^$O$29-C52)/C54</f>
        <v>179.63719907484608</v>
      </c>
      <c r="F65" s="56">
        <f>(SUMPRODUCT(($F$31:$O$31)/(1+$B65)^$F$29:$O$29)+$O$6*((1+F$63)*$C$36-Zalozenia!$B$35*F$63)/($B65-F$63)/(1+$B65)^$O$29-C52)/C54</f>
        <v>194.45035260442788</v>
      </c>
      <c r="G65" s="56">
        <f>(SUMPRODUCT(($F$31:$O$31)/(1+$B65)^$F$29:$O$29)+$O$6*((1+G$63)*$C$36-Zalozenia!$B$35*G$63)/($B65-G$63)/(1+$B65)^$O$29-C52)/C54</f>
        <v>212.96402837602926</v>
      </c>
    </row>
    <row r="66" spans="1:16">
      <c r="B66" s="55">
        <f>$C$25+(0)*Zalozenia!$B$41</f>
        <v>0.0950299</v>
      </c>
      <c r="C66" s="56">
        <f>(SUMPRODUCT(($F$31:$O$31)/(1+$B66)^$F$29:$O$29)+$O$6*((1+C$63)*$C$36-Zalozenia!$B$35*C$63)/($B66-C$63)/(1+$B66)^$O$29-C52)/C54</f>
        <v>144.6560309219518</v>
      </c>
      <c r="D66" s="56">
        <f>(SUMPRODUCT(($F$31:$O$31)/(1+$B66)^$F$29:$O$29)+$O$6*((1+D$63)*$C$36-Zalozenia!$B$35*D$63)/($B66-D$63)/(1+$B66)^$O$29-C52)/C54</f>
        <v>152.925697604268</v>
      </c>
      <c r="E66" s="57">
        <f>(SUMPRODUCT(($F$31:$O$31)/(1+$B66)^$F$29:$O$29)+$O$6*((1+E$63)*$C$36-Zalozenia!$B$35*E$63)/($B66-E$63)/(1+$B66)^$O$29-C52)/C54</f>
        <v>162.69812309267255</v>
      </c>
      <c r="F66" s="56">
        <f>(SUMPRODUCT(($F$31:$O$31)/(1+$B66)^$F$29:$O$29)+$O$6*((1+F$63)*$C$36-Zalozenia!$B$35*F$63)/($B66-F$63)/(1+$B66)^$O$29-C52)/C54</f>
        <v>174.4238655951835</v>
      </c>
      <c r="G66" s="56">
        <f>(SUMPRODUCT(($F$31:$O$31)/(1+$B66)^$F$29:$O$29)+$O$6*((1+G$63)*$C$36-Zalozenia!$B$35*G$63)/($B66-G$63)/(1+$B66)^$O$29-C52)/C54</f>
        <v>188.75359844688714</v>
      </c>
    </row>
    <row r="67" spans="1:16">
      <c r="B67" s="55">
        <f>$C$25+(1)*Zalozenia!$B$41</f>
        <v>0.1000299</v>
      </c>
      <c r="C67" s="56">
        <f>(SUMPRODUCT(($F$31:$O$31)/(1+$B67)^$F$29:$O$29)+$O$6*((1+C$63)*$C$36-Zalozenia!$B$35*C$63)/($B67-C$63)/(1+$B67)^$O$29-C52)/C54</f>
        <v>133.73444944201054</v>
      </c>
      <c r="D67" s="56">
        <f>(SUMPRODUCT(($F$31:$O$31)/(1+$B67)^$F$29:$O$29)+$O$6*((1+D$63)*$C$36-Zalozenia!$B$35*D$63)/($B67-D$63)/(1+$B67)^$O$29-C52)/C54</f>
        <v>140.59283490285156</v>
      </c>
      <c r="E67" s="56">
        <f>(SUMPRODUCT(($F$31:$O$31)/(1+$B67)^$F$29:$O$29)+$O$6*((1+E$63)*$C$36-Zalozenia!$B$35*E$63)/($B67-E$63)/(1+$B67)^$O$29-C52)/C54</f>
        <v>148.59371526387423</v>
      </c>
      <c r="F67" s="56">
        <f>(SUMPRODUCT(($F$31:$O$31)/(1+$B67)^$F$29:$O$29)+$O$6*((1+F$63)*$C$36-Zalozenia!$B$35*F$63)/($B67-F$63)/(1+$B67)^$O$29-C52)/C54</f>
        <v>158.04851074395438</v>
      </c>
      <c r="G67" s="56">
        <f>(SUMPRODUCT(($F$31:$O$31)/(1+$B67)^$F$29:$O$29)+$O$6*((1+G$63)*$C$36-Zalozenia!$B$35*G$63)/($B67-G$63)/(1+$B67)^$O$29-C52)/C54</f>
        <v>169.39313520232162</v>
      </c>
    </row>
    <row r="68" spans="1:16">
      <c r="B68" s="55">
        <f>$C$25+(2)*Zalozenia!$B$41</f>
        <v>0.1050299</v>
      </c>
      <c r="C68" s="56">
        <f>(SUMPRODUCT(($F$31:$O$31)/(1+$B68)^$F$29:$O$29)+$O$6*((1+C$63)*$C$36-Zalozenia!$B$35*C$63)/($B68-C$63)/(1+$B68)^$O$29-C52)/C54</f>
        <v>124.28158060565835</v>
      </c>
      <c r="D68" s="56">
        <f>(SUMPRODUCT(($F$31:$O$31)/(1+$B68)^$F$29:$O$29)+$O$6*((1+D$63)*$C$36-Zalozenia!$B$35*D$63)/($B68-D$63)/(1+$B68)^$O$29-C52)/C54</f>
        <v>130.0334515078603</v>
      </c>
      <c r="E68" s="56">
        <f>(SUMPRODUCT(($F$31:$O$31)/(1+$B68)^$F$29:$O$29)+$O$6*((1+E$63)*$C$36-Zalozenia!$B$35*E$63)/($B68-E$63)/(1+$B68)^$O$29-C52)/C54</f>
        <v>136.66981875746586</v>
      </c>
      <c r="F68" s="56">
        <f>(SUMPRODUCT(($F$31:$O$31)/(1+$B68)^$F$29:$O$29)+$O$6*((1+F$63)*$C$36-Zalozenia!$B$35*F$63)/($B68-F$63)/(1+$B68)^$O$29-C52)/C54</f>
        <v>144.41169630270832</v>
      </c>
      <c r="G68" s="56">
        <f>(SUMPRODUCT(($F$31:$O$31)/(1+$B68)^$F$29:$O$29)+$O$6*((1+G$63)*$C$36-Zalozenia!$B$35*G$63)/($B68-G$63)/(1+$B68)^$O$29-C52)/C54</f>
        <v>153.56042313265647</v>
      </c>
    </row>
    <row r="70" spans="1:16">
      <c r="A70" s="3" t="s">
        <v>187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54" t="s">
        <v>188</v>
      </c>
      <c r="C71" s="58">
        <f>(-2)*Zalozenia!$B$43</f>
        <v>-0.02</v>
      </c>
      <c r="D71" s="58">
        <f>(-1)*Zalozenia!$B$43</f>
        <v>-0.01</v>
      </c>
      <c r="E71" s="58">
        <f>(0)*Zalozenia!$B$43</f>
        <v>0.0</v>
      </c>
      <c r="F71" s="58">
        <f>(1)*Zalozenia!$B$43</f>
        <v>0.01</v>
      </c>
      <c r="G71" s="58">
        <f>(2)*Zalozenia!$B$43</f>
        <v>0.02</v>
      </c>
    </row>
    <row r="72" spans="1:16">
      <c r="B72" s="55">
        <f>$C$25+(-2)*Zalozenia!$B$41</f>
        <v>0.0850299</v>
      </c>
      <c r="C72" s="56">
        <f>(SUMPRODUCT(($F$31:$O$31+C$71*$F$6:$O$6*(1-$F$12:$O$12)*$F$28:$O$28)/(1+$B72)^$F$29:$O$29)+$O$6*((1+$C$26)*($C$36+C$71*(1-Zalozenia!$B$12))-Zalozenia!$B$35*$C$26)/($B72-$C$26)/(1+$B72)^$O$29-C52)/C54</f>
        <v>188.99659210238482</v>
      </c>
      <c r="D72" s="56">
        <f>(SUMPRODUCT(($F$31:$O$31+D$71*$F$6:$O$6*(1-$F$12:$O$12)*$F$28:$O$28)/(1+$B72)^$F$29:$O$29)+$O$6*((1+$C$26)*($C$36+D$71*(1-Zalozenia!$B$12))-Zalozenia!$B$35*$C$26)/($B72-$C$26)/(1+$B72)^$O$29-C52)/C54</f>
        <v>194.67612443012985</v>
      </c>
      <c r="E72" s="56">
        <f>(SUMPRODUCT(($F$31:$O$31+E$71*$F$6:$O$6*(1-$F$12:$O$12)*$F$28:$O$28)/(1+$B72)^$F$29:$O$29)+$O$6*((1+$C$26)*($C$36+E$71*(1-Zalozenia!$B$12))-Zalozenia!$B$35*$C$26)/($B72-$C$26)/(1+$B72)^$O$29-C52)/C54</f>
        <v>200.355656757875</v>
      </c>
      <c r="F72" s="56">
        <f>(SUMPRODUCT(($F$31:$O$31+F$71*$F$6:$O$6*(1-$F$12:$O$12)*$F$28:$O$28)/(1+$B72)^$F$29:$O$29)+$O$6*((1+$C$26)*($C$36+F$71*(1-Zalozenia!$B$12))-Zalozenia!$B$35*$C$26)/($B72-$C$26)/(1+$B72)^$O$29-C52)/C54</f>
        <v>206.03518908562006</v>
      </c>
      <c r="G72" s="56">
        <f>(SUMPRODUCT(($F$31:$O$31+G$71*$F$6:$O$6*(1-$F$12:$O$12)*$F$28:$O$28)/(1+$B72)^$F$29:$O$29)+$O$6*((1+$C$26)*($C$36+G$71*(1-Zalozenia!$B$12))-Zalozenia!$B$35*$C$26)/($B72-$C$26)/(1+$B72)^$O$29-C52)/C54</f>
        <v>211.71472141336514</v>
      </c>
    </row>
    <row r="73" spans="1:16">
      <c r="B73" s="55">
        <f>$C$25+(-1)*Zalozenia!$B$41</f>
        <v>0.0900299</v>
      </c>
      <c r="C73" s="56">
        <f>(SUMPRODUCT(($F$31:$O$31+C$71*$F$6:$O$6*(1-$F$12:$O$12)*$F$28:$O$28)/(1+$B73)^$F$29:$O$29)+$O$6*((1+$C$26)*($C$36+C$71*(1-Zalozenia!$B$12))-Zalozenia!$B$35*$C$26)/($B73-$C$26)/(1+$B73)^$O$29-C52)/C54</f>
        <v>169.45670586313113</v>
      </c>
      <c r="D73" s="56">
        <f>(SUMPRODUCT(($F$31:$O$31+D$71*$F$6:$O$6*(1-$F$12:$O$12)*$F$28:$O$28)/(1+$B73)^$F$29:$O$29)+$O$6*((1+$C$26)*($C$36+D$71*(1-Zalozenia!$B$12))-Zalozenia!$B$35*$C$26)/($B73-$C$26)/(1+$B73)^$O$29-C52)/C54</f>
        <v>174.54695246898856</v>
      </c>
      <c r="E73" s="56">
        <f>(SUMPRODUCT(($F$31:$O$31+E$71*$F$6:$O$6*(1-$F$12:$O$12)*$F$28:$O$28)/(1+$B73)^$F$29:$O$29)+$O$6*((1+$C$26)*($C$36+E$71*(1-Zalozenia!$B$12))-Zalozenia!$B$35*$C$26)/($B73-$C$26)/(1+$B73)^$O$29-C52)/C54</f>
        <v>179.63719907484608</v>
      </c>
      <c r="F73" s="56">
        <f>(SUMPRODUCT(($F$31:$O$31+F$71*$F$6:$O$6*(1-$F$12:$O$12)*$F$28:$O$28)/(1+$B73)^$F$29:$O$29)+$O$6*((1+$C$26)*($C$36+F$71*(1-Zalozenia!$B$12))-Zalozenia!$B$35*$C$26)/($B73-$C$26)/(1+$B73)^$O$29-C52)/C54</f>
        <v>184.72744568070357</v>
      </c>
      <c r="G73" s="56">
        <f>(SUMPRODUCT(($F$31:$O$31+G$71*$F$6:$O$6*(1-$F$12:$O$12)*$F$28:$O$28)/(1+$B73)^$F$29:$O$29)+$O$6*((1+$C$26)*($C$36+G$71*(1-Zalozenia!$B$12))-Zalozenia!$B$35*$C$26)/($B73-$C$26)/(1+$B73)^$O$29-C52)/C54</f>
        <v>189.817692286561</v>
      </c>
    </row>
    <row r="74" spans="1:16">
      <c r="B74" s="55">
        <f>$C$25+(0)*Zalozenia!$B$41</f>
        <v>0.0950299</v>
      </c>
      <c r="C74" s="56">
        <f>(SUMPRODUCT(($F$31:$O$31+C$71*$F$6:$O$6*(1-$F$12:$O$12)*$F$28:$O$28)/(1+$B74)^$F$29:$O$29)+$O$6*((1+$C$26)*($C$36+C$71*(1-Zalozenia!$B$12))-Zalozenia!$B$35*$C$26)/($B74-$C$26)/(1+$B74)^$O$29-C52)/C54</f>
        <v>153.48089185518342</v>
      </c>
      <c r="D74" s="56">
        <f>(SUMPRODUCT(($F$31:$O$31+D$71*$F$6:$O$6*(1-$F$12:$O$12)*$F$28:$O$28)/(1+$B74)^$F$29:$O$29)+$O$6*((1+$C$26)*($C$36+D$71*(1-Zalozenia!$B$12))-Zalozenia!$B$35*$C$26)/($B74-$C$26)/(1+$B74)^$O$29-C52)/C54</f>
        <v>158.08950747392797</v>
      </c>
      <c r="E74" s="57">
        <f>(SUMPRODUCT(($F$31:$O$31+E$71*$F$6:$O$6*(1-$F$12:$O$12)*$F$28:$O$28)/(1+$B74)^$F$29:$O$29)+$O$6*((1+$C$26)*($C$36+E$71*(1-Zalozenia!$B$12))-Zalozenia!$B$35*$C$26)/($B74-$C$26)/(1+$B74)^$O$29-C52)/C54</f>
        <v>162.69812309267255</v>
      </c>
      <c r="F74" s="56">
        <f>(SUMPRODUCT(($F$31:$O$31+F$71*$F$6:$O$6*(1-$F$12:$O$12)*$F$28:$O$28)/(1+$B74)^$F$29:$O$29)+$O$6*((1+$C$26)*($C$36+F$71*(1-Zalozenia!$B$12))-Zalozenia!$B$35*$C$26)/($B74-$C$26)/(1+$B74)^$O$29-C52)/C54</f>
        <v>167.30673871141713</v>
      </c>
      <c r="G74" s="56">
        <f>(SUMPRODUCT(($F$31:$O$31+G$71*$F$6:$O$6*(1-$F$12:$O$12)*$F$28:$O$28)/(1+$B74)^$F$29:$O$29)+$O$6*((1+$C$26)*($C$36+G$71*(1-Zalozenia!$B$12))-Zalozenia!$B$35*$C$26)/($B74-$C$26)/(1+$B74)^$O$29-C52)/C54</f>
        <v>171.91535433016168</v>
      </c>
    </row>
    <row r="75" spans="1:16">
      <c r="B75" s="55">
        <f>$C$25+(1)*Zalozenia!$B$41</f>
        <v>0.1000299</v>
      </c>
      <c r="C75" s="56">
        <f>(SUMPRODUCT(($F$31:$O$31+C$71*$F$6:$O$6*(1-$F$12:$O$12)*$F$28:$O$28)/(1+$B75)^$F$29:$O$29)+$O$6*((1+$C$26)*($C$36+C$71*(1-Zalozenia!$B$12))-Zalozenia!$B$35*$C$26)/($B75-$C$26)/(1+$B75)^$O$29-C52)/C54</f>
        <v>140.17826851911298</v>
      </c>
      <c r="D75" s="56">
        <f>(SUMPRODUCT(($F$31:$O$31+D$71*$F$6:$O$6*(1-$F$12:$O$12)*$F$28:$O$28)/(1+$B75)^$F$29:$O$29)+$O$6*((1+$C$26)*($C$36+D$71*(1-Zalozenia!$B$12))-Zalozenia!$B$35*$C$26)/($B75-$C$26)/(1+$B75)^$O$29-C52)/C54</f>
        <v>144.3859918914936</v>
      </c>
      <c r="E75" s="56">
        <f>(SUMPRODUCT(($F$31:$O$31+E$71*$F$6:$O$6*(1-$F$12:$O$12)*$F$28:$O$28)/(1+$B75)^$F$29:$O$29)+$O$6*((1+$C$26)*($C$36+E$71*(1-Zalozenia!$B$12))-Zalozenia!$B$35*$C$26)/($B75-$C$26)/(1+$B75)^$O$29-C52)/C54</f>
        <v>148.59371526387423</v>
      </c>
      <c r="F75" s="56">
        <f>(SUMPRODUCT(($F$31:$O$31+F$71*$F$6:$O$6*(1-$F$12:$O$12)*$F$28:$O$28)/(1+$B75)^$F$29:$O$29)+$O$6*((1+$C$26)*($C$36+F$71*(1-Zalozenia!$B$12))-Zalozenia!$B$35*$C$26)/($B75-$C$26)/(1+$B75)^$O$29-C52)/C54</f>
        <v>152.80143863625486</v>
      </c>
      <c r="G75" s="56">
        <f>(SUMPRODUCT(($F$31:$O$31+G$71*$F$6:$O$6*(1-$F$12:$O$12)*$F$28:$O$28)/(1+$B75)^$F$29:$O$29)+$O$6*((1+$C$26)*($C$36+G$71*(1-Zalozenia!$B$12))-Zalozenia!$B$35*$C$26)/($B75-$C$26)/(1+$B75)^$O$29-C52)/C54</f>
        <v>157.00916200863546</v>
      </c>
    </row>
    <row r="76" spans="1:16">
      <c r="B76" s="55">
        <f>$C$25+(2)*Zalozenia!$B$41</f>
        <v>0.1050299</v>
      </c>
      <c r="C76" s="56">
        <f>(SUMPRODUCT(($F$31:$O$31+C$71*$F$6:$O$6*(1-$F$12:$O$12)*$F$28:$O$28)/(1+$B76)^$F$29:$O$29)+$O$6*((1+$C$26)*($C$36+C$71*(1-Zalozenia!$B$12))-Zalozenia!$B$35*$C$26)/($B76-$C$26)/(1+$B76)^$O$29-C52)/C54</f>
        <v>128.9319539069819</v>
      </c>
      <c r="D76" s="56">
        <f>(SUMPRODUCT(($F$31:$O$31+D$71*$F$6:$O$6*(1-$F$12:$O$12)*$F$28:$O$28)/(1+$B76)^$F$29:$O$29)+$O$6*((1+$C$26)*($C$36+D$71*(1-Zalozenia!$B$12))-Zalozenia!$B$35*$C$26)/($B76-$C$26)/(1+$B76)^$O$29-C52)/C54</f>
        <v>132.80088633222385</v>
      </c>
      <c r="E76" s="56">
        <f>(SUMPRODUCT(($F$31:$O$31+E$71*$F$6:$O$6*(1-$F$12:$O$12)*$F$28:$O$28)/(1+$B76)^$F$29:$O$29)+$O$6*((1+$C$26)*($C$36+E$71*(1-Zalozenia!$B$12))-Zalozenia!$B$35*$C$26)/($B76-$C$26)/(1+$B76)^$O$29-C52)/C54</f>
        <v>136.66981875746586</v>
      </c>
      <c r="F76" s="56">
        <f>(SUMPRODUCT(($F$31:$O$31+F$71*$F$6:$O$6*(1-$F$12:$O$12)*$F$28:$O$28)/(1+$B76)^$F$29:$O$29)+$O$6*((1+$C$26)*($C$36+F$71*(1-Zalozenia!$B$12))-Zalozenia!$B$35*$C$26)/($B76-$C$26)/(1+$B76)^$O$29-C52)/C54</f>
        <v>140.53875118270784</v>
      </c>
      <c r="G76" s="56">
        <f>(SUMPRODUCT(($F$31:$O$31+G$71*$F$6:$O$6*(1-$F$12:$O$12)*$F$28:$O$28)/(1+$B76)^$F$29:$O$29)+$O$6*((1+$C$26)*($C$36+G$71*(1-Zalozenia!$B$12))-Zalozenia!$B$35*$C$26)/($B76-$C$26)/(1+$B76)^$O$29-C52)/C54</f>
        <v>144.4076836079498</v>
      </c>
    </row>
    <row r="78" spans="1:16">
      <c r="A78" s="3" t="s">
        <v>189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5" t="s">
        <v>190</v>
      </c>
      <c r="B79" s="35" t="s">
        <v>191</v>
      </c>
    </row>
    <row r="80" spans="1:16">
      <c r="A80" s="59">
        <f>$C$26+0.005+0.0025*0</f>
        <v>0.045</v>
      </c>
      <c r="B80" s="52">
        <f>(SUMPRODUCT(($F$31:$O$31)/(1+$A80)^$F$29:$O$29)+$O$6*((1+$C$26)*$C$36-Zalozenia!$B$35*$C$26)/($A80-$C$26)/(1+$A80)^$O$29-C52)/C54</f>
        <v>1866.3234051408654</v>
      </c>
    </row>
    <row r="81" spans="1:2">
      <c r="A81" s="59">
        <f>$C$26+0.005+0.0025*1</f>
        <v>0.0475</v>
      </c>
      <c r="B81" s="52">
        <f>(SUMPRODUCT(($F$31:$O$31)/(1+$A81)^$F$29:$O$29)+$O$6*((1+$C$26)*$C$36-Zalozenia!$B$35*$C$26)/($A81-$C$26)/(1+$A81)^$O$29-C52)/C54</f>
        <v>1241.403221805389</v>
      </c>
    </row>
    <row r="82" spans="1:2">
      <c r="A82" s="59">
        <f>$C$26+0.005+0.0025*2</f>
        <v>0.049999999999999996</v>
      </c>
      <c r="B82" s="52">
        <f>(SUMPRODUCT(($F$31:$O$31)/(1+$A82)^$F$29:$O$29)+$O$6*((1+$C$26)*$C$36-Zalozenia!$B$35*$C$26)/($A82-$C$26)/(1+$A82)^$O$29-C52)/C54</f>
        <v>928.9680016596276</v>
      </c>
    </row>
    <row r="83" spans="1:2">
      <c r="A83" s="59">
        <f>$C$26+0.005+0.0025*3</f>
        <v>0.0525</v>
      </c>
      <c r="B83" s="52">
        <f>(SUMPRODUCT(($F$31:$O$31)/(1+$A83)^$F$29:$O$29)+$O$6*((1+$C$26)*$C$36-Zalozenia!$B$35*$C$26)/($A83-$C$26)/(1+$A83)^$O$29-C52)/C54</f>
        <v>741.526500923543</v>
      </c>
    </row>
    <row r="84" spans="1:2">
      <c r="A84" s="59">
        <f>$C$26+0.005+0.0025*4</f>
        <v>0.055</v>
      </c>
      <c r="B84" s="52">
        <f>(SUMPRODUCT(($F$31:$O$31)/(1+$A84)^$F$29:$O$29)+$O$6*((1+$C$26)*$C$36-Zalozenia!$B$35*$C$26)/($A84-$C$26)/(1+$A84)^$O$29-C52)/C54</f>
        <v>616.5816417508677</v>
      </c>
    </row>
    <row r="85" spans="1:2">
      <c r="A85" s="59">
        <f>$C$26+0.005+0.0025*5</f>
        <v>0.057499999999999996</v>
      </c>
      <c r="B85" s="52">
        <f>(SUMPRODUCT(($F$31:$O$31)/(1+$A85)^$F$29:$O$29)+$O$6*((1+$C$26)*$C$36-Zalozenia!$B$35*$C$26)/($A85-$C$26)/(1+$A85)^$O$29-C52)/C54</f>
        <v>527.3489650838175</v>
      </c>
    </row>
    <row r="86" spans="1:2">
      <c r="A86" s="59">
        <f>$C$26+0.005+0.0025*6</f>
        <v>0.06</v>
      </c>
      <c r="B86" s="52">
        <f>(SUMPRODUCT(($F$31:$O$31)/(1+$A86)^$F$29:$O$29)+$O$6*((1+$C$26)*$C$36-Zalozenia!$B$35*$C$26)/($A86-$C$26)/(1+$A86)^$O$29-C52)/C54</f>
        <v>460.436243867553</v>
      </c>
    </row>
    <row r="87" spans="1:2">
      <c r="A87" s="59">
        <f>$C$26+0.005+0.0025*7</f>
        <v>0.0625</v>
      </c>
      <c r="B87" s="52">
        <f>(SUMPRODUCT(($F$31:$O$31)/(1+$A87)^$F$29:$O$29)+$O$6*((1+$C$26)*$C$36-Zalozenia!$B$35*$C$26)/($A87-$C$26)/(1+$A87)^$O$29-C52)/C54</f>
        <v>408.4033541223368</v>
      </c>
    </row>
    <row r="88" spans="1:2">
      <c r="A88" s="59">
        <f>$C$26+0.005+0.0025*8</f>
        <v>0.065</v>
      </c>
      <c r="B88" s="52">
        <f>(SUMPRODUCT(($F$31:$O$31)/(1+$A88)^$F$29:$O$29)+$O$6*((1+$C$26)*$C$36-Zalozenia!$B$35*$C$26)/($A88-$C$26)/(1+$A88)^$O$29-C52)/C54</f>
        <v>366.78622337300135</v>
      </c>
    </row>
    <row r="89" spans="1:2">
      <c r="A89" s="59">
        <f>$C$26+0.005+0.0025*9</f>
        <v>0.0675</v>
      </c>
      <c r="B89" s="52">
        <f>(SUMPRODUCT(($F$31:$O$31)/(1+$A89)^$F$29:$O$29)+$O$6*((1+$C$26)*$C$36-Zalozenia!$B$35*$C$26)/($A89-$C$26)/(1+$A89)^$O$29-C52)/C54</f>
        <v>332.7440799356032</v>
      </c>
    </row>
    <row r="90" spans="1:2">
      <c r="A90" s="59">
        <f>$C$26+0.005+0.0025*10</f>
        <v>0.07</v>
      </c>
      <c r="B90" s="52">
        <f>(SUMPRODUCT(($F$31:$O$31)/(1+$A90)^$F$29:$O$29)+$O$6*((1+$C$26)*$C$36-Zalozenia!$B$35*$C$26)/($A90-$C$26)/(1+$A90)^$O$29-C52)/C54</f>
        <v>304.3830775612319</v>
      </c>
    </row>
    <row r="91" spans="1:2">
      <c r="A91" s="59">
        <f>$C$26+0.005+0.0025*11</f>
        <v>0.0725</v>
      </c>
      <c r="B91" s="52">
        <f>(SUMPRODUCT(($F$31:$O$31)/(1+$A91)^$F$29:$O$29)+$O$6*((1+$C$26)*$C$36-Zalozenia!$B$35*$C$26)/($A91-$C$26)/(1+$A91)^$O$29-C52)/C54</f>
        <v>280.3920933215783</v>
      </c>
    </row>
    <row r="92" spans="1:2">
      <c r="A92" s="59">
        <f>$C$26+0.005+0.0025*12</f>
        <v>0.075</v>
      </c>
      <c r="B92" s="52">
        <f>(SUMPRODUCT(($F$31:$O$31)/(1+$A92)^$F$29:$O$29)+$O$6*((1+$C$26)*$C$36-Zalozenia!$B$35*$C$26)/($A92-$C$26)/(1+$A92)^$O$29-C52)/C54</f>
        <v>259.83461211536616</v>
      </c>
    </row>
    <row r="93" spans="1:2">
      <c r="A93" s="59">
        <f>$C$26+0.005+0.0025*13</f>
        <v>0.0775</v>
      </c>
      <c r="B93" s="52">
        <f>(SUMPRODUCT(($F$31:$O$31)/(1+$A93)^$F$29:$O$29)+$O$6*((1+$C$26)*$C$36-Zalozenia!$B$35*$C$26)/($A93-$C$26)/(1+$A93)^$O$29-C52)/C54</f>
        <v>242.0238573725836</v>
      </c>
    </row>
    <row r="94" spans="1:2">
      <c r="A94" s="59">
        <f>$C$26+0.005+0.0025*14</f>
        <v>0.08</v>
      </c>
      <c r="B94" s="52">
        <f>(SUMPRODUCT(($F$31:$O$31)/(1+$A94)^$F$29:$O$29)+$O$6*((1+$C$26)*$C$36-Zalozenia!$B$35*$C$26)/($A94-$C$26)/(1+$A94)^$O$29-C52)/C54</f>
        <v>226.44474774495967</v>
      </c>
    </row>
    <row r="95" spans="1:2">
      <c r="A95" s="59">
        <f>$C$26+0.005+0.0025*15</f>
        <v>0.08249999999999999</v>
      </c>
      <c r="B95" s="52">
        <f>(SUMPRODUCT(($F$31:$O$31)/(1+$A95)^$F$29:$O$29)+$O$6*((1+$C$26)*$C$36-Zalozenia!$B$35*$C$26)/($A95-$C$26)/(1+$A95)^$O$29-C52)/C54</f>
        <v>212.7033984942347</v>
      </c>
    </row>
    <row r="96" spans="1:2">
      <c r="A96" s="59">
        <f>$C$26+0.005+0.0025*16</f>
        <v>0.08499999999999999</v>
      </c>
      <c r="B96" s="52">
        <f>(SUMPRODUCT(($F$31:$O$31)/(1+$A96)^$F$29:$O$29)+$O$6*((1+$C$26)*$C$36-Zalozenia!$B$35*$C$26)/($A96-$C$26)/(1+$A96)^$O$29-C52)/C54</f>
        <v>200.49345575129223</v>
      </c>
    </row>
    <row r="97" spans="1:2">
      <c r="A97" s="59">
        <f>$C$26+0.005+0.0025*17</f>
        <v>0.0875</v>
      </c>
      <c r="B97" s="52">
        <f>(SUMPRODUCT(($F$31:$O$31)/(1+$A97)^$F$29:$O$29)+$O$6*((1+$C$26)*$C$36-Zalozenia!$B$35*$C$26)/($A97-$C$26)/(1+$A97)^$O$29-C52)/C54</f>
        <v>189.57306206215287</v>
      </c>
    </row>
    <row r="98" spans="1:2">
      <c r="A98" s="59">
        <f>$C$26+0.005+0.0025*18</f>
        <v>0.09</v>
      </c>
      <c r="B98" s="52">
        <f>(SUMPRODUCT(($F$31:$O$31)/(1+$A98)^$F$29:$O$29)+$O$6*((1+$C$26)*$C$36-Zalozenia!$B$35*$C$26)/($A98-$C$26)/(1+$A98)^$O$29-C52)/C54</f>
        <v>179.74873227041908</v>
      </c>
    </row>
    <row r="99" spans="1:2">
      <c r="A99" s="59">
        <f>$C$26+0.005+0.0025*19</f>
        <v>0.0925</v>
      </c>
      <c r="B99" s="52">
        <f>(SUMPRODUCT(($F$31:$O$31)/(1+$A99)^$F$29:$O$29)+$O$6*((1+$C$26)*$C$36-Zalozenia!$B$35*$C$26)/($A99-$C$26)/(1+$A99)^$O$29-C52)/C54</f>
        <v>170.86383629068587</v>
      </c>
    </row>
    <row r="100" spans="1:2">
      <c r="A100" s="59">
        <f>$C$26+0.005+0.0025*20</f>
        <v>0.095</v>
      </c>
      <c r="B100" s="52">
        <f>(SUMPRODUCT(($F$31:$O$31)/(1+$A100)^$F$29:$O$29)+$O$6*((1+$C$26)*$C$36-Zalozenia!$B$35*$C$26)/($A100-$C$26)/(1+$A100)^$O$29-C52)/C54</f>
        <v>162.790222943966</v>
      </c>
    </row>
    <row r="101" spans="1:2">
      <c r="A101" s="59">
        <f>$C$26+0.005+0.0025*21</f>
        <v>0.0975</v>
      </c>
      <c r="B101" s="52">
        <f>(SUMPRODUCT(($F$31:$O$31)/(1+$A101)^$F$29:$O$29)+$O$6*((1+$C$26)*$C$36-Zalozenia!$B$35*$C$26)/($A101-$C$26)/(1+$A101)^$O$29-C52)/C54</f>
        <v>155.42202887973536</v>
      </c>
    </row>
    <row r="102" spans="1:2">
      <c r="A102" s="59">
        <f>$C$26+0.005+0.0025*22</f>
        <v>0.1</v>
      </c>
      <c r="B102" s="52">
        <f>(SUMPRODUCT(($F$31:$O$31)/(1+$A102)^$F$29:$O$29)+$O$6*((1+$C$26)*$C$36-Zalozenia!$B$35*$C$26)/($A102-$C$26)/(1+$A102)^$O$29-C52)/C54</f>
        <v>148.6710352676592</v>
      </c>
    </row>
    <row r="103" spans="1:2">
      <c r="A103" s="59">
        <f>$C$26+0.005+0.0025*23</f>
        <v>0.10250000000000001</v>
      </c>
      <c r="B103" s="52">
        <f>(SUMPRODUCT(($F$31:$O$31)/(1+$A103)^$F$29:$O$29)+$O$6*((1+$C$26)*$C$36-Zalozenia!$B$35*$C$26)/($A103-$C$26)/(1+$A103)^$O$29-C52)/C54</f>
        <v>142.4631388834892</v>
      </c>
    </row>
    <row r="104" spans="1:2">
      <c r="A104" s="59">
        <f>$C$26+0.005+0.0025*24</f>
        <v>0.105</v>
      </c>
      <c r="B104" s="52">
        <f>(SUMPRODUCT(($F$31:$O$31)/(1+$A104)^$F$29:$O$29)+$O$6*((1+$C$26)*$C$36-Zalozenia!$B$35*$C$26)/($A104-$C$26)/(1+$A104)^$O$29-C52)/C54</f>
        <v>136.73563755992413</v>
      </c>
    </row>
    <row r="105" spans="1:2">
      <c r="A105" s="59">
        <f>$C$26+0.005+0.0025*25</f>
        <v>0.1075</v>
      </c>
      <c r="B105" s="52">
        <f>(SUMPRODUCT(($F$31:$O$31)/(1+$A105)^$F$29:$O$29)+$O$6*((1+$C$26)*$C$36-Zalozenia!$B$35*$C$26)/($A105-$C$26)/(1+$A105)^$O$29-C52)/C54</f>
        <v>131.43511887077815</v>
      </c>
    </row>
    <row r="106" spans="1:2">
      <c r="A106" s="59">
        <f>$C$26+0.005+0.0025*26</f>
        <v>0.11</v>
      </c>
      <c r="B106" s="52">
        <f>(SUMPRODUCT(($F$31:$O$31)/(1+$A106)^$F$29:$O$29)+$O$6*((1+$C$26)*$C$36-Zalozenia!$B$35*$C$26)/($A106-$C$26)/(1+$A106)^$O$29-C52)/C54</f>
        <v>126.51580124012396</v>
      </c>
    </row>
    <row r="107" spans="1:2">
      <c r="A107" s="59">
        <f>$C$26+0.005+0.0025*27</f>
        <v>0.1125</v>
      </c>
      <c r="B107" s="52">
        <f>(SUMPRODUCT(($F$31:$O$31)/(1+$A107)^$F$29:$O$29)+$O$6*((1+$C$26)*$C$36-Zalozenia!$B$35*$C$26)/($A107-$C$26)/(1+$A107)^$O$29-C52)/C54</f>
        <v>121.93821827038157</v>
      </c>
    </row>
    <row r="108" spans="1:2">
      <c r="A108" s="59">
        <f>$C$26+0.005+0.0025*28</f>
        <v>0.115</v>
      </c>
      <c r="B108" s="52">
        <f>(SUMPRODUCT(($F$31:$O$31)/(1+$A108)^$F$29:$O$29)+$O$6*((1+$C$26)*$C$36-Zalozenia!$B$35*$C$26)/($A108-$C$26)/(1+$A108)^$O$29-C52)/C54</f>
        <v>117.6681662049271</v>
      </c>
    </row>
    <row r="109" spans="1:2">
      <c r="A109" s="59">
        <f>$C$26+0.005+0.0025*29</f>
        <v>0.1175</v>
      </c>
      <c r="B109" s="52">
        <f>(SUMPRODUCT(($F$31:$O$31)/(1+$A109)^$F$29:$O$29)+$O$6*((1+$C$26)*$C$36-Zalozenia!$B$35*$C$26)/($A109-$C$26)/(1+$A109)^$O$29-C52)/C54</f>
        <v>113.67585510775002</v>
      </c>
    </row>
    <row r="110" spans="1:2">
      <c r="A110" s="59">
        <f>$C$26+0.005+0.0025*30</f>
        <v>0.12</v>
      </c>
      <c r="B110" s="52">
        <f>(SUMPRODUCT(($F$31:$O$31)/(1+$A110)^$F$29:$O$29)+$O$6*((1+$C$26)*$C$36-Zalozenia!$B$35*$C$26)/($A110-$C$26)/(1+$A110)^$O$29-C52)/C54</f>
        <v>109.93521919704925</v>
      </c>
    </row>
    <row r="111" spans="1:2">
      <c r="A111" s="59">
        <f>$C$26+0.005+0.0025*31</f>
        <v>0.1225</v>
      </c>
      <c r="B111" s="52">
        <f>(SUMPRODUCT(($F$31:$O$31)/(1+$A111)^$F$29:$O$29)+$O$6*((1+$C$26)*$C$36-Zalozenia!$B$35*$C$26)/($A111-$C$26)/(1+$A111)^$O$29-C52)/C54</f>
        <v>106.42335257284205</v>
      </c>
    </row>
    <row r="112" spans="1:2">
      <c r="A112" s="59">
        <f>$C$26+0.005+0.0025*32</f>
        <v>0.125</v>
      </c>
      <c r="B112" s="52">
        <f>(SUMPRODUCT(($F$31:$O$31)/(1+$A112)^$F$29:$O$29)+$O$6*((1+$C$26)*$C$36-Zalozenia!$B$35*$C$26)/($A112-$C$26)/(1+$A112)^$O$29-C52)/C54</f>
        <v>103.12004452216603</v>
      </c>
    </row>
    <row r="113" spans="1:2">
      <c r="A113" s="59">
        <f>$C$26+0.005+0.0025*33</f>
        <v>0.1275</v>
      </c>
      <c r="B113" s="52">
        <f>(SUMPRODUCT(($F$31:$O$31)/(1+$A113)^$F$29:$O$29)+$O$6*((1+$C$26)*$C$36-Zalozenia!$B$35*$C$26)/($A113-$C$26)/(1+$A113)^$O$29-C52)/C54</f>
        <v>100.00739448635704</v>
      </c>
    </row>
    <row r="114" spans="1:2">
      <c r="A114" s="59">
        <f>$C$26+0.005+0.0025*34</f>
        <v>0.13</v>
      </c>
      <c r="B114" s="52">
        <f>(SUMPRODUCT(($F$31:$O$31)/(1+$A114)^$F$29:$O$29)+$O$6*((1+$C$26)*$C$36-Zalozenia!$B$35*$C$26)/($A114-$C$26)/(1+$A114)^$O$29-C52)/C54</f>
        <v>97.06949120055054</v>
      </c>
    </row>
    <row r="115" spans="1:2">
      <c r="A115" s="59">
        <f>$C$26+0.005+0.0025*35</f>
        <v>0.1325</v>
      </c>
      <c r="B115" s="52">
        <f>(SUMPRODUCT(($F$31:$O$31)/(1+$A115)^$F$29:$O$29)+$O$6*((1+$C$26)*$C$36-Zalozenia!$B$35*$C$26)/($A115-$C$26)/(1+$A115)^$O$29-C52)/C54</f>
        <v>94.29214386471438</v>
      </c>
    </row>
    <row r="116" spans="1:2">
      <c r="A116" s="59">
        <f>$C$26+0.005+0.0025*36</f>
        <v>0.135</v>
      </c>
      <c r="B116" s="52">
        <f>(SUMPRODUCT(($F$31:$O$31)/(1+$A116)^$F$29:$O$29)+$O$6*((1+$C$26)*$C$36-Zalozenia!$B$35*$C$26)/($A116-$C$26)/(1+$A116)^$O$29-C52)/C54</f>
        <v>91.66265576145616</v>
      </c>
    </row>
    <row r="117" spans="1:2">
      <c r="A117" s="59">
        <f>$C$26+0.005+0.0025*37</f>
        <v>0.1375</v>
      </c>
      <c r="B117" s="52">
        <f>(SUMPRODUCT(($F$31:$O$31)/(1+$A117)^$F$29:$O$29)+$O$6*((1+$C$26)*$C$36-Zalozenia!$B$35*$C$26)/($A117-$C$26)/(1+$A117)^$O$29-C52)/C54</f>
        <v>89.16963270194972</v>
      </c>
    </row>
    <row r="118" spans="1:2">
      <c r="A118" s="59">
        <f>$C$26+0.005+0.0025*38</f>
        <v>0.14</v>
      </c>
      <c r="B118" s="52">
        <f>(SUMPRODUCT(($F$31:$O$31)/(1+$A118)^$F$29:$O$29)+$O$6*((1+$C$26)*$C$36-Zalozenia!$B$35*$C$26)/($A118-$C$26)/(1+$A118)^$O$29-C52)/C54</f>
        <v>86.80282020506056</v>
      </c>
    </row>
    <row r="119" spans="1:2">
      <c r="A119" s="59">
        <f>$C$26+0.005+0.0025*39</f>
        <v>0.14250000000000002</v>
      </c>
      <c r="B119" s="52">
        <f>(SUMPRODUCT(($F$31:$O$31)/(1+$A119)^$F$29:$O$29)+$O$6*((1+$C$26)*$C$36-Zalozenia!$B$35*$C$26)/($A119-$C$26)/(1+$A119)^$O$29-C52)/C54</f>
        <v>84.55296450399925</v>
      </c>
    </row>
    <row r="120" spans="1:2">
      <c r="A120" s="59">
        <f>$C$26+0.005+0.0025*40</f>
        <v>0.14500000000000002</v>
      </c>
      <c r="B120" s="52">
        <f>(SUMPRODUCT(($F$31:$O$31)/(1+$A120)^$F$29:$O$29)+$O$6*((1+$C$26)*$C$36-Zalozenia!$B$35*$C$26)/($A120-$C$26)/(1+$A120)^$O$29-C52)/C54</f>
        <v>82.41169340924628</v>
      </c>
    </row>
    <row r="121" spans="1:2">
      <c r="A121" s="59">
        <f>$C$26+0.005+0.0025*41</f>
        <v>0.14750000000000002</v>
      </c>
      <c r="B121" s="52">
        <f>(SUMPRODUCT(($F$31:$O$31)/(1+$A121)^$F$29:$O$29)+$O$6*((1+$C$26)*$C$36-Zalozenia!$B$35*$C$26)/($A121-$C$26)/(1+$A121)^$O$29-C52)/C54</f>
        <v>80.37141379533195</v>
      </c>
    </row>
    <row r="122" spans="1:2">
      <c r="A122" s="59">
        <f>$C$26+0.005+0.0025*42</f>
        <v>0.15</v>
      </c>
      <c r="B122" s="52">
        <f>(SUMPRODUCT(($F$31:$O$31)/(1+$A122)^$F$29:$O$29)+$O$6*((1+$C$26)*$C$36-Zalozenia!$B$35*$C$26)/($A122-$C$26)/(1+$A122)^$O$29-C52)/C54</f>
        <v>78.42522306676447</v>
      </c>
    </row>
    <row r="123" spans="1:2">
      <c r="A123" s="59">
        <f>$C$26+0.005+0.0025*43</f>
        <v>0.1525</v>
      </c>
      <c r="B123" s="52">
        <f>(SUMPRODUCT(($F$31:$O$31)/(1+$A123)^$F$29:$O$29)+$O$6*((1+$C$26)*$C$36-Zalozenia!$B$35*$C$26)/($A123-$C$26)/(1+$A123)^$O$29-C52)/C54</f>
        <v>76.56683242857164</v>
      </c>
    </row>
    <row r="124" spans="1:2">
      <c r="A124" s="59">
        <f>$C$26+0.005+0.0025*44</f>
        <v>0.155</v>
      </c>
      <c r="B124" s="52">
        <f>(SUMPRODUCT(($F$31:$O$31)/(1+$A124)^$F$29:$O$29)+$O$6*((1+$C$26)*$C$36-Zalozenia!$B$35*$C$26)/($A124-$C$26)/(1+$A124)^$O$29-C52)/C54</f>
        <v>74.79050016510035</v>
      </c>
    </row>
    <row r="125" spans="1:2">
      <c r="A125" s="59">
        <f>$C$26+0.005+0.0025*45</f>
        <v>0.1575</v>
      </c>
      <c r="B125" s="52">
        <f>(SUMPRODUCT(($F$31:$O$31)/(1+$A125)^$F$29:$O$29)+$O$6*((1+$C$26)*$C$36-Zalozenia!$B$35*$C$26)/($A125-$C$26)/(1+$A125)^$O$29-C52)/C54</f>
        <v>73.0909734364802</v>
      </c>
    </row>
    <row r="126" spans="1:2">
      <c r="A126" s="59">
        <f>$C$26+0.005+0.0025*46</f>
        <v>0.16</v>
      </c>
      <c r="B126" s="52">
        <f>(SUMPRODUCT(($F$31:$O$31)/(1+$A126)^$F$29:$O$29)+$O$6*((1+$C$26)*$C$36-Zalozenia!$B$35*$C$26)/($A126-$C$26)/(1+$A126)^$O$29-C52)/C54</f>
        <v>71.46343735059249</v>
      </c>
    </row>
    <row r="127" spans="1:2">
      <c r="A127" s="59">
        <f>$C$26+0.005+0.0025*47</f>
        <v>0.1625</v>
      </c>
      <c r="B127" s="52">
        <f>(SUMPRODUCT(($F$31:$O$31)/(1+$A127)^$F$29:$O$29)+$O$6*((1+$C$26)*$C$36-Zalozenia!$B$35*$C$26)/($A127-$C$26)/(1+$A127)^$O$29-C52)/C54</f>
        <v>69.90347027118393</v>
      </c>
    </row>
    <row r="128" spans="1:2">
      <c r="A128" s="59">
        <f>$C$26+0.005+0.0025*48</f>
        <v>0.16499999999999998</v>
      </c>
      <c r="B128" s="52">
        <f>(SUMPRODUCT(($F$31:$O$31)/(1+$A128)^$F$29:$O$29)+$O$6*((1+$C$26)*$C$36-Zalozenia!$B$35*$C$26)/($A128-$C$26)/(1+$A128)^$O$29-C52)/C54</f>
        <v>68.407004489065</v>
      </c>
    </row>
    <row r="130" spans="1:1">
      <c r="A130" s="2" t="s">
        <v>192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30"/>
  <sheetViews>
    <sheetView showGridLines="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5"/>
  <cols>
    <col min="1" max="1" width="54.7109375" customWidth="1"/>
    <col min="2" max="2" width="12.7109375" customWidth="1"/>
    <col min="3" max="16" width="11.7109375" customWidth="1"/>
  </cols>
  <sheetData>
    <row r="1" spans="1:16">
      <c r="A1" s="1" t="s">
        <v>194</v>
      </c>
    </row>
    <row r="2" spans="1:16">
      <c r="A2" s="2" t="str">
        <f>Zalozenia!$B$5&amp;" ("&amp;Zalozenia!$B$6&amp;"), kwoty w "&amp;Zalozenia!$B$7&amp;"; lata 1–5 z założeń, lata 6–10 wygaszanie do stanu ustalonego."</f>
        <v>ServiceNow, Inc. (NOW), kwoty w mln USD; lata 1–5 z założeń, lata 6–10 wygaszanie do stanu ustalonego.</v>
      </c>
    </row>
    <row r="3" spans="1:16">
      <c r="C3" s="2" t="s">
        <v>133</v>
      </c>
      <c r="F3" s="2" t="s">
        <v>134</v>
      </c>
      <c r="K3" s="2" t="s">
        <v>135</v>
      </c>
      <c r="P3" s="2" t="s">
        <v>136</v>
      </c>
    </row>
    <row r="4" spans="1:16">
      <c r="A4" s="21" t="s">
        <v>131</v>
      </c>
      <c r="B4" s="18"/>
      <c r="C4" s="19">
        <f>Historia!B3</f>
        <v>2023</v>
      </c>
      <c r="D4" s="19">
        <f>Historia!C3</f>
        <v>2024</v>
      </c>
      <c r="E4" s="19">
        <f>Historia!D3</f>
        <v>2025</v>
      </c>
      <c r="F4" s="19">
        <f>Zalozenia!C$46</f>
        <v>2026.0</v>
      </c>
      <c r="G4" s="19">
        <f>Zalozenia!D$46</f>
        <v>2027.0</v>
      </c>
      <c r="H4" s="19">
        <f>Zalozenia!E$46</f>
        <v>2028.0</v>
      </c>
      <c r="I4" s="19">
        <f>Zalozenia!F$46</f>
        <v>2029.0</v>
      </c>
      <c r="J4" s="19">
        <f>Zalozenia!G$46</f>
        <v>2030.0</v>
      </c>
      <c r="K4" s="19">
        <f>Zalozenia!H$46</f>
        <v>2031.0</v>
      </c>
      <c r="L4" s="19">
        <f>Zalozenia!I$46</f>
        <v>2032.0</v>
      </c>
      <c r="M4" s="19">
        <f>Zalozenia!J$46</f>
        <v>2033.0</v>
      </c>
      <c r="N4" s="19">
        <f>Zalozenia!K$46</f>
        <v>2034.0</v>
      </c>
      <c r="O4" s="19">
        <f>Zalozenia!L$46</f>
        <v>2035.0</v>
      </c>
      <c r="P4" s="18" t="s">
        <v>132</v>
      </c>
    </row>
    <row r="5" spans="1:16">
      <c r="A5" s="7" t="s">
        <v>93</v>
      </c>
      <c r="B5" s="2" t="s">
        <v>137</v>
      </c>
      <c r="D5" s="32" t="str">
        <f>Historia!C5</f>
        <v>n/d</v>
      </c>
      <c r="E5" s="32">
        <f>Historia!D5</f>
        <v>0.20884923525127452</v>
      </c>
      <c r="F5" s="33">
        <f>Zalozenia!C73</f>
        <v>0.23</v>
      </c>
      <c r="G5" s="33">
        <f>Zalozenia!D73</f>
        <v>0.22</v>
      </c>
      <c r="H5" s="33">
        <f>Zalozenia!E73</f>
        <v>0.2</v>
      </c>
      <c r="I5" s="33">
        <f>Zalozenia!F73</f>
        <v>0.19</v>
      </c>
      <c r="J5" s="33">
        <f>Zalozenia!G73</f>
        <v>0.18</v>
      </c>
      <c r="K5" s="33">
        <f>Zalozenia!H73</f>
        <v>0.153</v>
      </c>
      <c r="L5" s="33">
        <f>Zalozenia!I73</f>
        <v>0.126</v>
      </c>
      <c r="M5" s="33">
        <f>Zalozenia!J73</f>
        <v>0.09899999999999999</v>
      </c>
      <c r="N5" s="33">
        <f>Zalozenia!K73</f>
        <v>0.07199999999999998</v>
      </c>
      <c r="O5" s="33">
        <f>Zalozenia!L73</f>
        <v>0.044999999999999984</v>
      </c>
      <c r="P5" s="34">
        <f>$C$26</f>
        <v>0.045</v>
      </c>
    </row>
    <row r="6" spans="1:16">
      <c r="A6" s="35" t="s">
        <v>108</v>
      </c>
      <c r="B6" s="2" t="s">
        <v>25</v>
      </c>
      <c r="C6" s="36" t="str">
        <f>Historia!B4</f>
        <v>n/d</v>
      </c>
      <c r="D6" s="36">
        <f>Historia!C4</f>
        <v>10984</v>
      </c>
      <c r="E6" s="36">
        <f>Historia!D4</f>
        <v>13278</v>
      </c>
      <c r="F6" s="37">
        <f>E6*(1+F5)</f>
        <v>16331.94</v>
      </c>
      <c r="G6" s="37">
        <f>F6*(1+G5)</f>
        <v>19924.966800000002</v>
      </c>
      <c r="H6" s="37">
        <f>G6*(1+H5)</f>
        <v>23909.960160000002</v>
      </c>
      <c r="I6" s="37">
        <f>H6*(1+I5)</f>
        <v>28452.8525904</v>
      </c>
      <c r="J6" s="37">
        <f>I6*(1+J5)</f>
        <v>33574.366056672</v>
      </c>
      <c r="K6" s="37">
        <f>J6*(1+K5)</f>
        <v>38711.24406334281</v>
      </c>
      <c r="L6" s="37">
        <f>K6*(1+L5)</f>
        <v>43588.860815324006</v>
      </c>
      <c r="M6" s="37">
        <f>L6*(1+M5)</f>
        <v>47904.15803604108</v>
      </c>
      <c r="N6" s="37">
        <f>M6*(1+N5)</f>
        <v>51353.25741463604</v>
      </c>
      <c r="O6" s="37">
        <f>N6*(1+O5)</f>
        <v>53664.15399829466</v>
      </c>
      <c r="P6" s="37">
        <f>O6*(1+P5)</f>
        <v>56079.04092821792</v>
      </c>
    </row>
    <row r="7" spans="1:16">
      <c r="A7" s="7" t="s">
        <v>94</v>
      </c>
      <c r="B7" s="2" t="s">
        <v>137</v>
      </c>
      <c r="C7" s="28" t="str">
        <f>IF(AND(ISNUMBER(C8),ISNUMBER(C6)),C8/C6,"n/d")</f>
        <v>n/d</v>
      </c>
      <c r="D7" s="28" t="str">
        <f>IF(AND(ISNUMBER(D8),ISNUMBER(D6)),D8/D6,"n/d")</f>
        <v>n/d</v>
      </c>
      <c r="E7" s="28">
        <f>IF(AND(ISNUMBER(E8),ISNUMBER(E6)),E8/E6,"n/d")</f>
        <v>0.192950745594216</v>
      </c>
      <c r="F7" s="33">
        <f>Zalozenia!C74</f>
        <v>0.38</v>
      </c>
      <c r="G7" s="33">
        <f>Zalozenia!D74</f>
        <v>0.392</v>
      </c>
      <c r="H7" s="33">
        <f>Zalozenia!E74</f>
        <v>0.404</v>
      </c>
      <c r="I7" s="33">
        <f>Zalozenia!F74</f>
        <v>0.415</v>
      </c>
      <c r="J7" s="33">
        <f>Zalozenia!G74</f>
        <v>0.425</v>
      </c>
      <c r="K7" s="33">
        <f>Zalozenia!H74</f>
        <v>0.425</v>
      </c>
      <c r="L7" s="33">
        <f>Zalozenia!I74</f>
        <v>0.425</v>
      </c>
      <c r="M7" s="33">
        <f>Zalozenia!J74</f>
        <v>0.425</v>
      </c>
      <c r="N7" s="33">
        <f>Zalozenia!K74</f>
        <v>0.425</v>
      </c>
      <c r="O7" s="33">
        <f>Zalozenia!L74</f>
        <v>0.425</v>
      </c>
      <c r="P7" s="34">
        <f>O7</f>
        <v>0.425</v>
      </c>
    </row>
    <row r="8" spans="1:16">
      <c r="A8" s="35" t="s">
        <v>110</v>
      </c>
      <c r="B8" s="2" t="s">
        <v>25</v>
      </c>
      <c r="C8" s="36" t="str">
        <f>Historia!B6</f>
        <v>n/d</v>
      </c>
      <c r="D8" s="36" t="str">
        <f>Historia!C6</f>
        <v>n/d</v>
      </c>
      <c r="E8" s="36">
        <f>Historia!D6</f>
        <v>2562</v>
      </c>
      <c r="F8" s="37">
        <f>F6*F7</f>
        <v>6206.1372</v>
      </c>
      <c r="G8" s="37">
        <f>G6*G7</f>
        <v>7810.586985600001</v>
      </c>
      <c r="H8" s="37">
        <f>H6*H7</f>
        <v>9659.623904640002</v>
      </c>
      <c r="I8" s="37">
        <f>I6*I7</f>
        <v>11807.933825016</v>
      </c>
      <c r="J8" s="37">
        <f>J6*J7</f>
        <v>14269.105574085599</v>
      </c>
      <c r="K8" s="37">
        <f>K6*K7</f>
        <v>16452.278726920696</v>
      </c>
      <c r="L8" s="37">
        <f>L6*L7</f>
        <v>18525.265846512702</v>
      </c>
      <c r="M8" s="37">
        <f>M6*M7</f>
        <v>20359.26716531746</v>
      </c>
      <c r="N8" s="37">
        <f>N6*N7</f>
        <v>21825.13440122032</v>
      </c>
      <c r="O8" s="37">
        <f>O6*O7</f>
        <v>22807.26544927523</v>
      </c>
      <c r="P8" s="37">
        <f>P6*P7</f>
        <v>23833.592394492614</v>
      </c>
    </row>
    <row r="9" spans="1:16">
      <c r="A9" s="7" t="s">
        <v>83</v>
      </c>
      <c r="B9" s="2" t="s">
        <v>137</v>
      </c>
      <c r="C9" s="28" t="str">
        <f>IF(AND(ISNUMBER(C10),ISNUMBER(C6)),C10/C6,"n/d")</f>
        <v>n/d</v>
      </c>
      <c r="D9" s="28" t="str">
        <f>IF(AND(ISNUMBER(D10),ISNUMBER(D6)),D10/D6,"n/d")</f>
        <v>n/d</v>
      </c>
      <c r="E9" s="28">
        <f>IF(AND(ISNUMBER(E10),ISNUMBER(E6)),E10/E6,"n/d")</f>
        <v>0.05558065973791233</v>
      </c>
      <c r="F9" s="33">
        <f>Zalozenia!C$47</f>
        <v>0.055</v>
      </c>
      <c r="G9" s="33">
        <f>Zalozenia!D$47</f>
        <v>0.055</v>
      </c>
      <c r="H9" s="33">
        <f>Zalozenia!E$47</f>
        <v>0.055</v>
      </c>
      <c r="I9" s="33">
        <f>Zalozenia!F$47</f>
        <v>0.055</v>
      </c>
      <c r="J9" s="33">
        <f>Zalozenia!G$47</f>
        <v>0.055</v>
      </c>
      <c r="K9" s="33">
        <f>Zalozenia!H$47</f>
        <v>0.054</v>
      </c>
      <c r="L9" s="33">
        <f>Zalozenia!I$47</f>
        <v>0.053</v>
      </c>
      <c r="M9" s="33">
        <f>Zalozenia!J$47</f>
        <v>0.052000000000000005</v>
      </c>
      <c r="N9" s="33">
        <f>Zalozenia!K$47</f>
        <v>0.051000000000000004</v>
      </c>
      <c r="O9" s="33">
        <f>Zalozenia!L$47</f>
        <v>0.05</v>
      </c>
      <c r="P9" s="33">
        <f>Zalozenia!$B$37</f>
        <v>0.05</v>
      </c>
    </row>
    <row r="10" spans="1:16">
      <c r="A10" s="7" t="s">
        <v>112</v>
      </c>
      <c r="B10" s="2" t="s">
        <v>25</v>
      </c>
      <c r="C10" s="38" t="str">
        <f>Historia!B8</f>
        <v>n/d</v>
      </c>
      <c r="D10" s="38" t="str">
        <f>Historia!C8</f>
        <v>n/d</v>
      </c>
      <c r="E10" s="38">
        <f>Historia!D8</f>
        <v>738</v>
      </c>
      <c r="F10" s="15">
        <f>F6*F9</f>
        <v>898.2567</v>
      </c>
      <c r="G10" s="15">
        <f>G6*G9</f>
        <v>1095.873174</v>
      </c>
      <c r="H10" s="15">
        <f>H6*H9</f>
        <v>1315.0478088000002</v>
      </c>
      <c r="I10" s="15">
        <f>I6*I9</f>
        <v>1564.9068924720002</v>
      </c>
      <c r="J10" s="15">
        <f>J6*J9</f>
        <v>1846.59013311696</v>
      </c>
      <c r="K10" s="15">
        <f>K6*K9</f>
        <v>2090.407179420512</v>
      </c>
      <c r="L10" s="15">
        <f>L6*L9</f>
        <v>2310.209623212172</v>
      </c>
      <c r="M10" s="15">
        <f>M6*M9</f>
        <v>2491.0162178741366</v>
      </c>
      <c r="N10" s="15">
        <f>N6*N9</f>
        <v>2619.0161281464384</v>
      </c>
      <c r="O10" s="15">
        <f>O6*O9</f>
        <v>2683.2076999147334</v>
      </c>
      <c r="P10" s="15">
        <f>P6*P9</f>
        <v>2803.952046410896</v>
      </c>
    </row>
    <row r="11" spans="1:16">
      <c r="A11" s="7" t="s">
        <v>115</v>
      </c>
      <c r="B11" s="2" t="s">
        <v>25</v>
      </c>
      <c r="C11" s="29" t="str">
        <f>IF(AND(ISNUMBER(C8),ISNUMBER(C10)),C8-C10,"n/d")</f>
        <v>n/d</v>
      </c>
      <c r="D11" s="29" t="str">
        <f>IF(AND(ISNUMBER(D8),ISNUMBER(D10)),D8-D10,"n/d")</f>
        <v>n/d</v>
      </c>
      <c r="E11" s="29">
        <f>IF(AND(ISNUMBER(E8),ISNUMBER(E10)),E8-E10,"n/d")</f>
        <v>1824.0</v>
      </c>
      <c r="F11" s="15">
        <f>F8-F10</f>
        <v>5307.8805</v>
      </c>
      <c r="G11" s="15">
        <f>G8-G10</f>
        <v>6714.713811600001</v>
      </c>
      <c r="H11" s="15">
        <f>H8-H10</f>
        <v>8344.576095840002</v>
      </c>
      <c r="I11" s="15">
        <f>I8-I10</f>
        <v>10243.026932544</v>
      </c>
      <c r="J11" s="15">
        <f>J8-J10</f>
        <v>12422.515440968638</v>
      </c>
      <c r="K11" s="15">
        <f>K8-K10</f>
        <v>14361.871547500185</v>
      </c>
      <c r="L11" s="15">
        <f>L8-L10</f>
        <v>16215.05622330053</v>
      </c>
      <c r="M11" s="15">
        <f>M8-M10</f>
        <v>17868.25094744332</v>
      </c>
      <c r="N11" s="15">
        <f>N8-N10</f>
        <v>19206.11827307388</v>
      </c>
      <c r="O11" s="15">
        <f>O8-O10</f>
        <v>20124.057749360498</v>
      </c>
      <c r="P11" s="15">
        <f>P8-P10</f>
        <v>21029.640348081717</v>
      </c>
    </row>
    <row r="12" spans="1:16">
      <c r="A12" s="7" t="s">
        <v>89</v>
      </c>
      <c r="B12" s="2" t="s">
        <v>137</v>
      </c>
      <c r="F12" s="33">
        <f>Zalozenia!C$50</f>
        <v>0.21</v>
      </c>
      <c r="G12" s="33">
        <f>Zalozenia!D$50</f>
        <v>0.21</v>
      </c>
      <c r="H12" s="33">
        <f>Zalozenia!E$50</f>
        <v>0.21</v>
      </c>
      <c r="I12" s="33">
        <f>Zalozenia!F$50</f>
        <v>0.21</v>
      </c>
      <c r="J12" s="33">
        <f>Zalozenia!G$50</f>
        <v>0.21</v>
      </c>
      <c r="K12" s="33">
        <f>Zalozenia!H$50</f>
        <v>0.21</v>
      </c>
      <c r="L12" s="33">
        <f>Zalozenia!I$50</f>
        <v>0.21</v>
      </c>
      <c r="M12" s="33">
        <f>Zalozenia!J$50</f>
        <v>0.21</v>
      </c>
      <c r="N12" s="33">
        <f>Zalozenia!K$50</f>
        <v>0.21</v>
      </c>
      <c r="O12" s="33">
        <f>Zalozenia!L$50</f>
        <v>0.21</v>
      </c>
      <c r="P12" s="33">
        <f>Zalozenia!$B$12</f>
        <v>0.21</v>
      </c>
    </row>
    <row r="13" spans="1:16">
      <c r="A13" s="7" t="s">
        <v>138</v>
      </c>
      <c r="B13" s="2" t="s">
        <v>25</v>
      </c>
      <c r="F13" s="15">
        <f>MAX(0,F11)*F12</f>
        <v>1114.654905</v>
      </c>
      <c r="G13" s="15">
        <f>MAX(0,G11)*G12</f>
        <v>1410.089900436</v>
      </c>
      <c r="H13" s="15">
        <f>MAX(0,H11)*H12</f>
        <v>1752.3609801264004</v>
      </c>
      <c r="I13" s="15">
        <f>MAX(0,I11)*I12</f>
        <v>2151.03565583424</v>
      </c>
      <c r="J13" s="15">
        <f>MAX(0,J11)*J12</f>
        <v>2608.728242603414</v>
      </c>
      <c r="K13" s="15">
        <f>MAX(0,K11)*K12</f>
        <v>3015.9930249750387</v>
      </c>
      <c r="L13" s="15">
        <f>MAX(0,L11)*L12</f>
        <v>3405.161806893111</v>
      </c>
      <c r="M13" s="15">
        <f>MAX(0,M11)*M12</f>
        <v>3752.3326989630973</v>
      </c>
      <c r="N13" s="15">
        <f>MAX(0,N11)*N12</f>
        <v>4033.2848373455145</v>
      </c>
      <c r="O13" s="15">
        <f>MAX(0,O11)*O12</f>
        <v>4226.052127365704</v>
      </c>
      <c r="P13" s="15">
        <f>MAX(0,P11)*P12</f>
        <v>4416.224473097161</v>
      </c>
    </row>
    <row r="14" spans="1:16">
      <c r="A14" s="7" t="s">
        <v>139</v>
      </c>
      <c r="B14" s="2" t="s">
        <v>25</v>
      </c>
      <c r="F14" s="15">
        <f>F11-F13</f>
        <v>4193.225595</v>
      </c>
      <c r="G14" s="15">
        <f>G11-G13</f>
        <v>5304.623911164001</v>
      </c>
      <c r="H14" s="15">
        <f>H11-H13</f>
        <v>6592.215115713602</v>
      </c>
      <c r="I14" s="15">
        <f>I11-I13</f>
        <v>8091.99127670976</v>
      </c>
      <c r="J14" s="15">
        <f>J11-J13</f>
        <v>9813.787198365224</v>
      </c>
      <c r="K14" s="15">
        <f>K11-K13</f>
        <v>11345.878522525145</v>
      </c>
      <c r="L14" s="15">
        <f>L11-L13</f>
        <v>12809.894416407418</v>
      </c>
      <c r="M14" s="15">
        <f>M11-M13</f>
        <v>14115.918248480224</v>
      </c>
      <c r="N14" s="15">
        <f>N11-N13</f>
        <v>15172.833435728366</v>
      </c>
      <c r="O14" s="15">
        <f>O11-O13</f>
        <v>15898.005621994795</v>
      </c>
      <c r="P14" s="15">
        <f>P11-P13</f>
        <v>16613.415874984556</v>
      </c>
    </row>
    <row r="15" spans="1:16">
      <c r="A15" s="7" t="s">
        <v>140</v>
      </c>
      <c r="B15" s="2" t="s">
        <v>25</v>
      </c>
      <c r="F15" s="15">
        <f>F10</f>
        <v>898.2567</v>
      </c>
      <c r="G15" s="15">
        <f>G10</f>
        <v>1095.873174</v>
      </c>
      <c r="H15" s="15">
        <f>H10</f>
        <v>1315.0478088000002</v>
      </c>
      <c r="I15" s="15">
        <f>I10</f>
        <v>1564.9068924720002</v>
      </c>
      <c r="J15" s="15">
        <f>J10</f>
        <v>1846.59013311696</v>
      </c>
      <c r="K15" s="15">
        <f>K10</f>
        <v>2090.407179420512</v>
      </c>
      <c r="L15" s="15">
        <f>L10</f>
        <v>2310.209623212172</v>
      </c>
      <c r="M15" s="15">
        <f>M10</f>
        <v>2491.0162178741366</v>
      </c>
      <c r="N15" s="15">
        <f>N10</f>
        <v>2619.0161281464384</v>
      </c>
      <c r="O15" s="15">
        <f>O10</f>
        <v>2683.2076999147334</v>
      </c>
      <c r="P15" s="15">
        <f>P10</f>
        <v>2803.952046410896</v>
      </c>
    </row>
    <row r="16" spans="1:16">
      <c r="A16" s="7" t="s">
        <v>141</v>
      </c>
      <c r="B16" s="2" t="s">
        <v>25</v>
      </c>
      <c r="C16" s="38" t="str">
        <f>Historia!B12</f>
        <v>n/d</v>
      </c>
      <c r="D16" s="38" t="str">
        <f>Historia!C12</f>
        <v>n/d</v>
      </c>
      <c r="E16" s="38">
        <f>Historia!D12</f>
        <v>868</v>
      </c>
      <c r="F16" s="15">
        <f>F6*Zalozenia!C$48</f>
        <v>979.9164</v>
      </c>
      <c r="G16" s="15">
        <f>G6*Zalozenia!D$48</f>
        <v>1155.6480744000003</v>
      </c>
      <c r="H16" s="15">
        <f>H6*Zalozenia!E$48</f>
        <v>1338.95776896</v>
      </c>
      <c r="I16" s="15">
        <f>I6*Zalozenia!F$48</f>
        <v>1536.4540398816</v>
      </c>
      <c r="J16" s="15">
        <f>J6*Zalozenia!G$48</f>
        <v>1745.867034946944</v>
      </c>
      <c r="K16" s="15">
        <f>K6*Zalozenia!H$48</f>
        <v>2036.211437731832</v>
      </c>
      <c r="L16" s="15">
        <f>L6*Zalozenia!I$48</f>
        <v>2318.927395375237</v>
      </c>
      <c r="M16" s="15">
        <f>M6*Zalozenia!J$48</f>
        <v>2577.2437023390103</v>
      </c>
      <c r="N16" s="15">
        <f>N6*Zalozenia!K$48</f>
        <v>2793.617203356201</v>
      </c>
      <c r="O16" s="15">
        <f>O6*Zalozenia!L$48</f>
        <v>2951.5284699062067</v>
      </c>
      <c r="P16" s="15">
        <f>P10*Zalozenia!$B$36</f>
        <v>3084.347251051986</v>
      </c>
    </row>
    <row r="17" spans="1:16">
      <c r="A17" s="7" t="s">
        <v>142</v>
      </c>
      <c r="B17" s="2" t="s">
        <v>25</v>
      </c>
      <c r="F17" s="15">
        <f>F6*Zalozenia!C$49</f>
        <v>0.0</v>
      </c>
      <c r="G17" s="15">
        <f>G6*Zalozenia!D$49</f>
        <v>0.0</v>
      </c>
      <c r="H17" s="15">
        <f>H6*Zalozenia!E$49</f>
        <v>0.0</v>
      </c>
      <c r="I17" s="15">
        <f>I6*Zalozenia!F$49</f>
        <v>0.0</v>
      </c>
      <c r="J17" s="15">
        <f>J6*Zalozenia!G$49</f>
        <v>0.0</v>
      </c>
      <c r="K17" s="15">
        <f>K6*Zalozenia!H$49</f>
        <v>0.0</v>
      </c>
      <c r="L17" s="15">
        <f>L6*Zalozenia!I$49</f>
        <v>0.0</v>
      </c>
      <c r="M17" s="15">
        <f>M6*Zalozenia!J$49</f>
        <v>0.0</v>
      </c>
      <c r="N17" s="15">
        <f>N6*Zalozenia!K$49</f>
        <v>0.0</v>
      </c>
      <c r="O17" s="15">
        <f>O6*Zalozenia!L$49</f>
        <v>0.0</v>
      </c>
      <c r="P17" s="15">
        <v>0</v>
      </c>
    </row>
    <row r="18" spans="1:16">
      <c r="A18" s="7" t="s">
        <v>143</v>
      </c>
      <c r="B18" s="2" t="s">
        <v>25</v>
      </c>
      <c r="F18" s="15">
        <f>Zalozenia!$B$35*(F6-E6)</f>
        <v>-458.09100000000007</v>
      </c>
      <c r="G18" s="15">
        <f>Zalozenia!$B$35*(G6-F6)</f>
        <v>-538.9540200000002</v>
      </c>
      <c r="H18" s="15">
        <f>Zalozenia!$B$35*(H6-G6)</f>
        <v>-597.749004</v>
      </c>
      <c r="I18" s="15">
        <f>Zalozenia!$B$35*(I6-H6)</f>
        <v>-681.4338645599998</v>
      </c>
      <c r="J18" s="15">
        <f>Zalozenia!$B$35*(J6-I6)</f>
        <v>-768.2270199407996</v>
      </c>
      <c r="K18" s="15">
        <f>Zalozenia!$B$35*(K6-J6)</f>
        <v>-770.531701000622</v>
      </c>
      <c r="L18" s="15">
        <f>Zalozenia!$B$35*(L6-K6)</f>
        <v>-731.6425127971789</v>
      </c>
      <c r="M18" s="15">
        <f>Zalozenia!$B$35*(M6-L6)</f>
        <v>-647.2945831075613</v>
      </c>
      <c r="N18" s="15">
        <f>Zalozenia!$B$35*(N6-M6)</f>
        <v>-517.3649067892442</v>
      </c>
      <c r="O18" s="15">
        <f>Zalozenia!$B$35*(O6-N6)</f>
        <v>-346.6344875487932</v>
      </c>
      <c r="P18" s="15">
        <f>Zalozenia!$B$35*(P6-O6)</f>
        <v>-362.23303948848803</v>
      </c>
    </row>
    <row r="19" spans="1:16">
      <c r="A19" s="35" t="s">
        <v>144</v>
      </c>
      <c r="B19" s="2" t="s">
        <v>25</v>
      </c>
      <c r="F19" s="39">
        <f>F14+F15-F16-F17-F18</f>
        <v>4569.656895</v>
      </c>
      <c r="G19" s="39">
        <f>G14+G15-G16-G17-G18</f>
        <v>5783.803030764001</v>
      </c>
      <c r="H19" s="39">
        <f>H14+H15-H16-H17-H18</f>
        <v>7166.054159553602</v>
      </c>
      <c r="I19" s="39">
        <f>I14+I15-I16-I17-I18</f>
        <v>8801.87799386016</v>
      </c>
      <c r="J19" s="39">
        <f>J14+J15-J16-J17-J18</f>
        <v>10682.737316476041</v>
      </c>
      <c r="K19" s="39">
        <f>K14+K15-K16-K17-K18</f>
        <v>12170.605965214447</v>
      </c>
      <c r="L19" s="39">
        <f>L14+L15-L16-L17-L18</f>
        <v>13532.819157041531</v>
      </c>
      <c r="M19" s="39">
        <f>M14+M15-M16-M17-M18</f>
        <v>14676.98534712291</v>
      </c>
      <c r="N19" s="39">
        <f>N14+N15-N16-N17-N18</f>
        <v>15515.597267307845</v>
      </c>
      <c r="O19" s="39">
        <f>O14+O15-O16-O17-O18</f>
        <v>15976.319339552114</v>
      </c>
      <c r="P19" s="39">
        <f>P14+P15-P16-P17-P18</f>
        <v>16695.253709831955</v>
      </c>
    </row>
    <row r="20" spans="1:16">
      <c r="A20" s="7" t="s">
        <v>145</v>
      </c>
      <c r="B20" s="2" t="s">
        <v>137</v>
      </c>
      <c r="F20" s="34">
        <f>F19/F6</f>
        <v>0.2797987804878049</v>
      </c>
      <c r="G20" s="34">
        <f>G19/G6</f>
        <v>0.29027918032786887</v>
      </c>
      <c r="H20" s="34">
        <f>H19/H6</f>
        <v>0.2997100000000001</v>
      </c>
      <c r="I20" s="34">
        <f>I19/I6</f>
        <v>0.3093495798319328</v>
      </c>
      <c r="J20" s="34">
        <f>J19/J6</f>
        <v>0.31818135593220337</v>
      </c>
      <c r="K20" s="34">
        <f>K19/K6</f>
        <v>0.3143945967042498</v>
      </c>
      <c r="L20" s="34">
        <f>L19/L6</f>
        <v>0.310465079928952</v>
      </c>
      <c r="M20" s="34">
        <f>M19/M6</f>
        <v>0.30638228389444944</v>
      </c>
      <c r="N20" s="34">
        <f>N19/N6</f>
        <v>0.3021346268656716</v>
      </c>
      <c r="O20" s="34">
        <f>O19/O6</f>
        <v>0.2977093301435407</v>
      </c>
      <c r="P20" s="34">
        <f>P19/P6</f>
        <v>0.2977093301435406</v>
      </c>
    </row>
    <row r="22" spans="1:16">
      <c r="A22" s="3" t="s">
        <v>146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7" t="s">
        <v>53</v>
      </c>
      <c r="B23" s="2" t="s">
        <v>137</v>
      </c>
      <c r="C23" s="40">
        <f>Zalozenia!$B$24</f>
        <v>0.0950299</v>
      </c>
    </row>
    <row r="24" spans="1:16">
      <c r="A24" s="7" t="s">
        <v>147</v>
      </c>
      <c r="B24" s="2" t="s">
        <v>148</v>
      </c>
      <c r="C24" s="41">
        <f>Zalozenia!$B$76</f>
        <v>-0.005</v>
      </c>
    </row>
    <row r="25" spans="1:16">
      <c r="A25" s="35" t="s">
        <v>149</v>
      </c>
      <c r="B25" s="2" t="s">
        <v>137</v>
      </c>
      <c r="C25" s="42">
        <f>C23+C24</f>
        <v>0.0900299</v>
      </c>
    </row>
    <row r="26" spans="1:16">
      <c r="A26" s="35" t="s">
        <v>99</v>
      </c>
      <c r="B26" s="2" t="s">
        <v>137</v>
      </c>
      <c r="C26" s="43">
        <f>Zalozenia!$B$77</f>
        <v>0.045</v>
      </c>
    </row>
    <row r="28" spans="1:16">
      <c r="A28" s="7" t="s">
        <v>150</v>
      </c>
      <c r="B28" s="2"/>
      <c r="F28" s="44">
        <f>MIN(1,MAX(0,(DATE(F4,12,31)-Zalozenia!$B$8)/365))</f>
        <v>0.2328767123287671</v>
      </c>
      <c r="G28" s="44">
        <v>1</v>
      </c>
      <c r="H28" s="44">
        <v>1</v>
      </c>
      <c r="I28" s="44">
        <v>1</v>
      </c>
      <c r="J28" s="44">
        <v>1</v>
      </c>
      <c r="K28" s="44">
        <v>1</v>
      </c>
      <c r="L28" s="44">
        <v>1</v>
      </c>
      <c r="M28" s="44">
        <v>1</v>
      </c>
      <c r="N28" s="44">
        <v>1</v>
      </c>
      <c r="O28" s="44">
        <v>1</v>
      </c>
    </row>
    <row r="29" spans="1:16">
      <c r="A29" s="7" t="s">
        <v>151</v>
      </c>
      <c r="B29" s="2" t="s">
        <v>152</v>
      </c>
      <c r="F29" s="44">
        <f>IF(Zalozenia!$B$38=1,F28/2,F28)</f>
        <v>0.11643835616438356</v>
      </c>
      <c r="G29" s="44">
        <f>$F$28+(G$4-$F$4)-IF(Zalozenia!$B$38=1,0.5,0)</f>
        <v>0.7328767123287672</v>
      </c>
      <c r="H29" s="44">
        <f>$F$28+(H$4-$F$4)-IF(Zalozenia!$B$38=1,0.5,0)</f>
        <v>1.7328767123287672</v>
      </c>
      <c r="I29" s="44">
        <f>$F$28+(I$4-$F$4)-IF(Zalozenia!$B$38=1,0.5,0)</f>
        <v>2.732876712328767</v>
      </c>
      <c r="J29" s="44">
        <f>$F$28+(J$4-$F$4)-IF(Zalozenia!$B$38=1,0.5,0)</f>
        <v>3.7328767123287667</v>
      </c>
      <c r="K29" s="44">
        <f>$F$28+(K$4-$F$4)-IF(Zalozenia!$B$38=1,0.5,0)</f>
        <v>4.732876712328767</v>
      </c>
      <c r="L29" s="44">
        <f>$F$28+(L$4-$F$4)-IF(Zalozenia!$B$38=1,0.5,0)</f>
        <v>5.732876712328767</v>
      </c>
      <c r="M29" s="44">
        <f>$F$28+(M$4-$F$4)-IF(Zalozenia!$B$38=1,0.5,0)</f>
        <v>6.732876712328767</v>
      </c>
      <c r="N29" s="44">
        <f>$F$28+(N$4-$F$4)-IF(Zalozenia!$B$38=1,0.5,0)</f>
        <v>7.732876712328768</v>
      </c>
      <c r="O29" s="44">
        <f>$F$28+(O$4-$F$4)-IF(Zalozenia!$B$38=1,0.5,0)</f>
        <v>8.732876712328768</v>
      </c>
    </row>
    <row r="30" spans="1:16">
      <c r="A30" s="7" t="s">
        <v>153</v>
      </c>
      <c r="B30" s="2"/>
      <c r="F30" s="45">
        <f>1/(1+$C$25)^F29</f>
        <v>0.9900126251208273</v>
      </c>
      <c r="G30" s="45">
        <f>1/(1+$C$25)^G29</f>
        <v>0.9387766099969074</v>
      </c>
      <c r="H30" s="45">
        <f>1/(1+$C$25)^H29</f>
        <v>0.8612393201295739</v>
      </c>
      <c r="I30" s="45">
        <f>1/(1+$C$25)^I29</f>
        <v>0.7901061430788036</v>
      </c>
      <c r="J30" s="45">
        <f>1/(1+$C$25)^J29</f>
        <v>0.7248481377242988</v>
      </c>
      <c r="K30" s="45">
        <f>1/(1+$C$25)^K29</f>
        <v>0.6649800502943073</v>
      </c>
      <c r="L30" s="45">
        <f>1/(1+$C$25)^L29</f>
        <v>0.6100567060539415</v>
      </c>
      <c r="M30" s="45">
        <f>1/(1+$C$25)^M29</f>
        <v>0.5596696990182943</v>
      </c>
      <c r="N30" s="45">
        <f>1/(1+$C$25)^N29</f>
        <v>0.5134443550753005</v>
      </c>
      <c r="O30" s="45">
        <f>1/(1+$C$25)^O29</f>
        <v>0.471036945936346</v>
      </c>
    </row>
    <row r="31" spans="1:16">
      <c r="A31" s="7" t="s">
        <v>154</v>
      </c>
      <c r="B31" s="2" t="s">
        <v>25</v>
      </c>
      <c r="F31" s="15">
        <f>F19*F28</f>
        <v>1064.166674178082</v>
      </c>
      <c r="G31" s="15">
        <f>G19*G28</f>
        <v>5783.803030764001</v>
      </c>
      <c r="H31" s="15">
        <f>H19*H28</f>
        <v>7166.054159553602</v>
      </c>
      <c r="I31" s="15">
        <f>I19*I28</f>
        <v>8801.87799386016</v>
      </c>
      <c r="J31" s="15">
        <f>J19*J28</f>
        <v>10682.737316476041</v>
      </c>
      <c r="K31" s="15">
        <f>K19*K28</f>
        <v>12170.605965214447</v>
      </c>
      <c r="L31" s="15">
        <f>L19*L28</f>
        <v>13532.819157041531</v>
      </c>
      <c r="M31" s="15">
        <f>M19*M28</f>
        <v>14676.98534712291</v>
      </c>
      <c r="N31" s="15">
        <f>N19*N28</f>
        <v>15515.597267307845</v>
      </c>
      <c r="O31" s="15">
        <f>O19*O28</f>
        <v>15976.319339552114</v>
      </c>
    </row>
    <row r="32" spans="1:16">
      <c r="A32" s="35" t="s">
        <v>155</v>
      </c>
      <c r="B32" s="2" t="s">
        <v>25</v>
      </c>
      <c r="F32" s="37">
        <f>F31*F30</f>
        <v>1053.5384426691433</v>
      </c>
      <c r="G32" s="37">
        <f>G31*G30</f>
        <v>5429.6990021104675</v>
      </c>
      <c r="H32" s="37">
        <f>H31*H30</f>
        <v>6171.68761238565</v>
      </c>
      <c r="I32" s="37">
        <f>I31*I30</f>
        <v>6954.417873579048</v>
      </c>
      <c r="J32" s="37">
        <f>J31*J30</f>
        <v>7743.362249645532</v>
      </c>
      <c r="K32" s="37">
        <f>K31*K30</f>
        <v>8093.210166860499</v>
      </c>
      <c r="L32" s="37">
        <f>L31*L30</f>
        <v>8255.787078568434</v>
      </c>
      <c r="M32" s="37">
        <f>M31*M30</f>
        <v>8214.263971720196</v>
      </c>
      <c r="N32" s="37">
        <f>N31*N30</f>
        <v>7966.395832520971</v>
      </c>
      <c r="O32" s="37">
        <f>O31*O30</f>
        <v>7525.436669006408</v>
      </c>
    </row>
    <row r="34" spans="1:16">
      <c r="A34" s="3" t="s">
        <v>156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>
      <c r="A35" s="46" t="s">
        <v>157</v>
      </c>
      <c r="B35" s="2" t="s">
        <v>25</v>
      </c>
      <c r="C35" s="15">
        <f>P19</f>
        <v>16695.253709831955</v>
      </c>
    </row>
    <row r="36" spans="1:16">
      <c r="A36" s="46" t="s">
        <v>158</v>
      </c>
      <c r="B36" s="2"/>
      <c r="C36" s="45">
        <f>(P7-P9)*(1-Zalozenia!$B$12)+P9-Zalozenia!$B$36*P9</f>
        <v>0.29125</v>
      </c>
    </row>
    <row r="37" spans="1:16">
      <c r="A37" s="46" t="s">
        <v>159</v>
      </c>
      <c r="B37" s="2" t="s">
        <v>25</v>
      </c>
      <c r="C37" s="15">
        <f>C35/($C$25-$C$26)</f>
        <v>370759.2890464326</v>
      </c>
    </row>
    <row r="38" spans="1:16">
      <c r="A38" s="46" t="s">
        <v>160</v>
      </c>
      <c r="B38" s="2"/>
      <c r="C38" s="45">
        <f>O30</f>
        <v>0.471036945936346</v>
      </c>
    </row>
    <row r="39" spans="1:16">
      <c r="A39" s="35" t="s">
        <v>161</v>
      </c>
      <c r="B39" s="2" t="s">
        <v>25</v>
      </c>
      <c r="C39" s="39">
        <f>C37*C38</f>
        <v>174641.32318996254</v>
      </c>
    </row>
    <row r="40" spans="1:16">
      <c r="A40" s="46" t="s">
        <v>162</v>
      </c>
      <c r="B40" s="2" t="s">
        <v>163</v>
      </c>
      <c r="C40" s="47">
        <f>C37*(1+$C$25)^(0.5*Zalozenia!$B$38)/O8</f>
        <v>16.97219562688446</v>
      </c>
    </row>
    <row r="41" spans="1:16">
      <c r="A41" s="46" t="s">
        <v>164</v>
      </c>
      <c r="B41" s="2" t="s">
        <v>163</v>
      </c>
      <c r="C41" s="48">
        <f>Zalozenia!$B$39</f>
        <v>15</v>
      </c>
    </row>
    <row r="42" spans="1:16">
      <c r="A42" s="46" t="s">
        <v>165</v>
      </c>
      <c r="B42" s="2" t="s">
        <v>25</v>
      </c>
      <c r="C42" s="15">
        <f>C41*O8/(1+$C$25)^(O29+0.5*Zalozenia!$B$38)</f>
        <v>154347.72880533396</v>
      </c>
    </row>
    <row r="43" spans="1:16">
      <c r="A43" s="46" t="s">
        <v>166</v>
      </c>
      <c r="B43" s="2" t="s">
        <v>137</v>
      </c>
      <c r="C43" s="28" t="str">
        <f>IF((P16+P17-P10+P18)&gt;0,$C$26*P14/(P16+P17-P10+P18),"n/d")</f>
        <v>n/d</v>
      </c>
    </row>
    <row r="44" spans="1:16">
      <c r="A44" s="46" t="s">
        <v>167</v>
      </c>
      <c r="B44" s="2" t="s">
        <v>137</v>
      </c>
      <c r="C44" s="28" t="str">
        <f>IF((SUM(F16:N16)+SUM(F17:N17)-SUM(F10:N10)+SUM(F18:N18))&gt;0,(O11-F11)*(1-Zalozenia!$B$12)/(SUM(F16:N16)+SUM(F17:N17)-SUM(F10:N10)+SUM(F18:N18)),"n/d")</f>
        <v>n/d</v>
      </c>
    </row>
    <row r="45" spans="1:16">
      <c r="A45" s="46" t="s">
        <v>168</v>
      </c>
      <c r="B45" s="2" t="s">
        <v>137</v>
      </c>
      <c r="C45" s="34">
        <f>SUM(K32:O32)/C50</f>
        <v>0.1654833257521327</v>
      </c>
    </row>
    <row r="47" spans="1:16">
      <c r="A47" s="3" t="s">
        <v>169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>
      <c r="A48" s="46" t="s">
        <v>170</v>
      </c>
      <c r="B48" s="2" t="s">
        <v>25</v>
      </c>
      <c r="C48" s="15">
        <f>SUM(F32:O32)</f>
        <v>67407.79889906634</v>
      </c>
    </row>
    <row r="49" spans="1:16">
      <c r="A49" s="46" t="s">
        <v>171</v>
      </c>
      <c r="B49" s="2" t="s">
        <v>25</v>
      </c>
      <c r="C49" s="15">
        <f>C39</f>
        <v>174641.32318996254</v>
      </c>
    </row>
    <row r="50" spans="1:16">
      <c r="A50" s="35" t="s">
        <v>172</v>
      </c>
      <c r="B50" s="2" t="s">
        <v>25</v>
      </c>
      <c r="C50" s="39">
        <f>C48+C49</f>
        <v>242049.12208902888</v>
      </c>
    </row>
    <row r="51" spans="1:16">
      <c r="A51" s="46" t="s">
        <v>173</v>
      </c>
      <c r="B51" s="2" t="s">
        <v>137</v>
      </c>
      <c r="C51" s="34">
        <f>C49/C50</f>
        <v>0.7215119050327609</v>
      </c>
    </row>
    <row r="52" spans="1:16">
      <c r="A52" s="46" t="s">
        <v>174</v>
      </c>
      <c r="B52" s="2" t="s">
        <v>25</v>
      </c>
      <c r="C52" s="49">
        <f>Zalozenia!$B$32</f>
        <v>810.0</v>
      </c>
    </row>
    <row r="53" spans="1:16">
      <c r="A53" s="35" t="s">
        <v>175</v>
      </c>
      <c r="B53" s="2" t="s">
        <v>25</v>
      </c>
      <c r="C53" s="39">
        <f>C50-C52</f>
        <v>241239.12208902888</v>
      </c>
    </row>
    <row r="54" spans="1:16">
      <c r="A54" s="46" t="s">
        <v>176</v>
      </c>
      <c r="B54" s="2" t="s">
        <v>177</v>
      </c>
      <c r="C54" s="50">
        <f>Zalozenia!$B$10</f>
        <v>1034</v>
      </c>
    </row>
    <row r="55" spans="1:16">
      <c r="A55" s="35" t="s">
        <v>178</v>
      </c>
      <c r="B55" s="2" t="s">
        <v>179</v>
      </c>
      <c r="C55" s="51">
        <f>C53/C54</f>
        <v>233.3066944768171</v>
      </c>
    </row>
    <row r="56" spans="1:16">
      <c r="A56" s="46" t="s">
        <v>180</v>
      </c>
      <c r="B56" s="2" t="s">
        <v>179</v>
      </c>
      <c r="C56" s="50">
        <f>Zalozenia!$B$9</f>
        <v>137.87</v>
      </c>
    </row>
    <row r="57" spans="1:16">
      <c r="A57" s="46" t="s">
        <v>181</v>
      </c>
      <c r="B57" s="2" t="s">
        <v>137</v>
      </c>
      <c r="C57" s="34">
        <f>C55/C56-1</f>
        <v>0.6922223433438537</v>
      </c>
    </row>
    <row r="58" spans="1:16">
      <c r="A58" s="46" t="s">
        <v>182</v>
      </c>
      <c r="B58" s="2" t="s">
        <v>163</v>
      </c>
      <c r="C58" s="47">
        <f>C50/F8</f>
        <v>39.00157445585136</v>
      </c>
    </row>
    <row r="59" spans="1:16">
      <c r="A59" s="46" t="s">
        <v>183</v>
      </c>
      <c r="B59" s="2" t="s">
        <v>179</v>
      </c>
      <c r="C59" s="52">
        <f>(C48+C42-C52)/C54</f>
        <v>213.68039429825947</v>
      </c>
    </row>
    <row r="60" spans="1:16">
      <c r="A60" s="35" t="s">
        <v>184</v>
      </c>
      <c r="B60" s="2" t="s">
        <v>137</v>
      </c>
      <c r="C60" s="53">
        <f>IF(C56&gt;$B$80,"poniżej "&amp;SUBSTITUTE(ROUND($A$80*100,2)&amp;"%",".",","),IF(C56&lt;$B$128,"powyżej "&amp;SUBSTITUTE(ROUND($A$128*100,2)&amp;"%",".",","),INDEX($A$80:$A$128,MATCH(C56,$B$80:$B$128,-1))+(INDEX($B$80:$B$128,MATCH(C56,$B$80:$B$128,-1))-C56)/(INDEX($B$80:$B$128,MATCH(C56,$B$80:$B$128,-1))-INDEX($B$80:$B$128,MATCH(C56,$B$80:$B$128,-1)+1))*0.0025))</f>
        <v>0.11928190295885634</v>
      </c>
    </row>
    <row r="62" spans="1:16">
      <c r="A62" s="3" t="s">
        <v>185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>
      <c r="A63" s="54" t="s">
        <v>186</v>
      </c>
      <c r="C63" s="55">
        <f>$C$26+(-2)*Zalozenia!$B$42</f>
        <v>0.034999999999999996</v>
      </c>
      <c r="D63" s="55">
        <f>$C$26+(-1)*Zalozenia!$B$42</f>
        <v>0.04</v>
      </c>
      <c r="E63" s="55">
        <f>$C$26+(0)*Zalozenia!$B$42</f>
        <v>0.045</v>
      </c>
      <c r="F63" s="55">
        <f>$C$26+(1)*Zalozenia!$B$42</f>
        <v>0.049999999999999996</v>
      </c>
      <c r="G63" s="55">
        <f>$C$26+(2)*Zalozenia!$B$42</f>
        <v>0.055</v>
      </c>
    </row>
    <row r="64" spans="1:16">
      <c r="B64" s="55">
        <f>$C$25+(-2)*Zalozenia!$B$41</f>
        <v>0.0800299</v>
      </c>
      <c r="C64" s="56">
        <f>(SUMPRODUCT(($F$31:$O$31)/(1+$B64)^$F$29:$O$29)+$O$6*((1+C$63)*$C$36-Zalozenia!$B$35*C$63)/($B64-C$63)/(1+$B64)^$O$29-C52)/C54</f>
        <v>247.902683009302</v>
      </c>
      <c r="D64" s="56">
        <f>(SUMPRODUCT(($F$31:$O$31)/(1+$B64)^$F$29:$O$29)+$O$6*((1+D$63)*$C$36-Zalozenia!$B$35*D$63)/($B64-D$63)/(1+$B64)^$O$29-C52)/C54</f>
        <v>271.9034413938372</v>
      </c>
      <c r="E64" s="56">
        <f>(SUMPRODUCT(($F$31:$O$31)/(1+$B64)^$F$29:$O$29)+$O$6*((1+E$63)*$C$36-Zalozenia!$B$35*E$63)/($B64-E$63)/(1+$B64)^$O$29-C52)/C54</f>
        <v>302.75570617277685</v>
      </c>
      <c r="F64" s="56">
        <f>(SUMPRODUCT(($F$31:$O$31)/(1+$B64)^$F$29:$O$29)+$O$6*((1+F$63)*$C$36-Zalozenia!$B$35*F$63)/($B64-F$63)/(1+$B64)^$O$29-C52)/C54</f>
        <v>343.8818196088681</v>
      </c>
      <c r="G64" s="56">
        <f>(SUMPRODUCT(($F$31:$O$31)/(1+$B64)^$F$29:$O$29)+$O$6*((1+G$63)*$C$36-Zalozenia!$B$35*G$63)/($B64-G$63)/(1+$B64)^$O$29-C52)/C54</f>
        <v>401.4387271895988</v>
      </c>
    </row>
    <row r="65" spans="1:16">
      <c r="B65" s="55">
        <f>$C$25+(-1)*Zalozenia!$B$41</f>
        <v>0.08502989999999999</v>
      </c>
      <c r="C65" s="56">
        <f>(SUMPRODUCT(($F$31:$O$31)/(1+$B65)^$F$29:$O$29)+$O$6*((1+C$63)*$C$36-Zalozenia!$B$35*C$63)/($B65-C$63)/(1+$B65)^$O$29-C52)/C54</f>
        <v>221.90308973174623</v>
      </c>
      <c r="D65" s="56">
        <f>(SUMPRODUCT(($F$31:$O$31)/(1+$B65)^$F$29:$O$29)+$O$6*((1+D$63)*$C$36-Zalozenia!$B$35*D$63)/($B65-D$63)/(1+$B65)^$O$29-C52)/C54</f>
        <v>240.47200487953407</v>
      </c>
      <c r="E65" s="56">
        <f>(SUMPRODUCT(($F$31:$O$31)/(1+$B65)^$F$29:$O$29)+$O$6*((1+E$63)*$C$36-Zalozenia!$B$35*E$63)/($B65-E$63)/(1+$B65)^$O$29-C52)/C54</f>
        <v>263.67968134018747</v>
      </c>
      <c r="F65" s="56">
        <f>(SUMPRODUCT(($F$31:$O$31)/(1+$B65)^$F$29:$O$29)+$O$6*((1+F$63)*$C$36-Zalozenia!$B$35*F$63)/($B65-F$63)/(1+$B65)^$O$29-C52)/C54</f>
        <v>293.5124627713528</v>
      </c>
      <c r="G65" s="56">
        <f>(SUMPRODUCT(($F$31:$O$31)/(1+$B65)^$F$29:$O$29)+$O$6*((1+G$63)*$C$36-Zalozenia!$B$35*G$63)/($B65-G$63)/(1+$B65)^$O$29-C52)/C54</f>
        <v>333.27960343487155</v>
      </c>
    </row>
    <row r="66" spans="1:16">
      <c r="B66" s="55">
        <f>$C$25+(0)*Zalozenia!$B$41</f>
        <v>0.0900299</v>
      </c>
      <c r="C66" s="56">
        <f>(SUMPRODUCT(($F$31:$O$31)/(1+$B66)^$F$29:$O$29)+$O$6*((1+C$63)*$C$36-Zalozenia!$B$35*C$63)/($B66-C$63)/(1+$B66)^$O$29-C52)/C54</f>
        <v>200.65429391962823</v>
      </c>
      <c r="D66" s="56">
        <f>(SUMPRODUCT(($F$31:$O$31)/(1+$B66)^$F$29:$O$29)+$O$6*((1+D$63)*$C$36-Zalozenia!$B$35*D$63)/($B66-D$63)/(1+$B66)^$O$29-C52)/C54</f>
        <v>215.3488498936574</v>
      </c>
      <c r="E66" s="57">
        <f>(SUMPRODUCT(($F$31:$O$31)/(1+$B66)^$F$29:$O$29)+$O$6*((1+E$63)*$C$36-Zalozenia!$B$35*E$63)/($B66-E$63)/(1+$B66)^$O$29-C52)/C54</f>
        <v>233.30669447681717</v>
      </c>
      <c r="F66" s="56">
        <f>(SUMPRODUCT(($F$31:$O$31)/(1+$B66)^$F$29:$O$29)+$O$6*((1+F$63)*$C$36-Zalozenia!$B$35*F$63)/($B66-F$63)/(1+$B66)^$O$29-C52)/C54</f>
        <v>255.75064684020114</v>
      </c>
      <c r="G66" s="56">
        <f>(SUMPRODUCT(($F$31:$O$31)/(1+$B66)^$F$29:$O$29)+$O$6*((1+G$63)*$C$36-Zalozenia!$B$35*G$63)/($B66-G$63)/(1+$B66)^$O$29-C52)/C54</f>
        <v>284.6016835410751</v>
      </c>
    </row>
    <row r="67" spans="1:16">
      <c r="B67" s="55">
        <f>$C$25+(1)*Zalozenia!$B$41</f>
        <v>0.0950299</v>
      </c>
      <c r="C67" s="56">
        <f>(SUMPRODUCT(($F$31:$O$31)/(1+$B67)^$F$29:$O$29)+$O$6*((1+C$63)*$C$36-Zalozenia!$B$35*C$63)/($B67-C$63)/(1+$B67)^$O$29-C52)/C54</f>
        <v>182.9685206158392</v>
      </c>
      <c r="D67" s="56">
        <f>(SUMPRODUCT(($F$31:$O$31)/(1+$B67)^$F$29:$O$29)+$O$6*((1+D$63)*$C$36-Zalozenia!$B$35*D$63)/($B67-D$63)/(1+$B67)^$O$29-C52)/C54</f>
        <v>194.8138369332952</v>
      </c>
      <c r="E67" s="56">
        <f>(SUMPRODUCT(($F$31:$O$31)/(1+$B67)^$F$29:$O$29)+$O$6*((1+E$63)*$C$36-Zalozenia!$B$35*E$63)/($B67-E$63)/(1+$B67)^$O$29-C52)/C54</f>
        <v>209.02680066109102</v>
      </c>
      <c r="F67" s="56">
        <f>(SUMPRODUCT(($F$31:$O$31)/(1+$B67)^$F$29:$O$29)+$O$6*((1+F$63)*$C$36-Zalozenia!$B$35*F$63)/($B67-F$63)/(1+$B67)^$O$29-C52)/C54</f>
        <v>226.39610356081394</v>
      </c>
      <c r="G67" s="56">
        <f>(SUMPRODUCT(($F$31:$O$31)/(1+$B67)^$F$29:$O$29)+$O$6*((1+G$63)*$C$36-Zalozenia!$B$35*G$63)/($B67-G$63)/(1+$B67)^$O$29-C52)/C54</f>
        <v>248.10448872147742</v>
      </c>
    </row>
    <row r="68" spans="1:16">
      <c r="B68" s="55">
        <f>$C$25+(2)*Zalozenia!$B$41</f>
        <v>0.10002989999999999</v>
      </c>
      <c r="C68" s="56">
        <f>(SUMPRODUCT(($F$31:$O$31)/(1+$B68)^$F$29:$O$29)+$O$6*((1+C$63)*$C$36-Zalozenia!$B$35*C$63)/($B68-C$63)/(1+$B68)^$O$29-C52)/C54</f>
        <v>168.02331623419303</v>
      </c>
      <c r="D68" s="56">
        <f>(SUMPRODUCT(($F$31:$O$31)/(1+$B68)^$F$29:$O$29)+$O$6*((1+D$63)*$C$36-Zalozenia!$B$35*D$63)/($B68-D$63)/(1+$B68)^$O$29-C52)/C54</f>
        <v>177.71993924178926</v>
      </c>
      <c r="E68" s="56">
        <f>(SUMPRODUCT(($F$31:$O$31)/(1+$B68)^$F$29:$O$29)+$O$6*((1+E$63)*$C$36-Zalozenia!$B$35*E$63)/($B68-E$63)/(1+$B68)^$O$29-C52)/C54</f>
        <v>189.1786266920968</v>
      </c>
      <c r="F68" s="56">
        <f>(SUMPRODUCT(($F$31:$O$31)/(1+$B68)^$F$29:$O$29)+$O$6*((1+F$63)*$C$36-Zalozenia!$B$35*F$63)/($B68-F$63)/(1+$B68)^$O$29-C52)/C54</f>
        <v>202.92768199249153</v>
      </c>
      <c r="G68" s="56">
        <f>(SUMPRODUCT(($F$31:$O$31)/(1+$B68)^$F$29:$O$29)+$O$6*((1+G$63)*$C$36-Zalozenia!$B$35*G$63)/($B68-G$63)/(1+$B68)^$O$29-C52)/C54</f>
        <v>219.73005415576944</v>
      </c>
    </row>
    <row r="70" spans="1:16">
      <c r="A70" s="3" t="s">
        <v>187</v>
      </c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>
      <c r="A71" s="54" t="s">
        <v>188</v>
      </c>
      <c r="C71" s="58">
        <f>(-2)*Zalozenia!$B$43</f>
        <v>-0.02</v>
      </c>
      <c r="D71" s="58">
        <f>(-1)*Zalozenia!$B$43</f>
        <v>-0.01</v>
      </c>
      <c r="E71" s="58">
        <f>(0)*Zalozenia!$B$43</f>
        <v>0.0</v>
      </c>
      <c r="F71" s="58">
        <f>(1)*Zalozenia!$B$43</f>
        <v>0.01</v>
      </c>
      <c r="G71" s="58">
        <f>(2)*Zalozenia!$B$43</f>
        <v>0.02</v>
      </c>
    </row>
    <row r="72" spans="1:16">
      <c r="B72" s="55">
        <f>$C$25+(-2)*Zalozenia!$B$41</f>
        <v>0.0800299</v>
      </c>
      <c r="C72" s="56">
        <f>(SUMPRODUCT(($F$31:$O$31+C$71*$F$6:$O$6*(1-$F$12:$O$12)*$F$28:$O$28)/(1+$B72)^$F$29:$O$29)+$O$6*((1+$C$26)*($C$36+C$71*(1-Zalozenia!$B$12))-Zalozenia!$B$35*$C$26)/($B72-$C$26)/(1+$B72)^$O$29-C52)/C54</f>
        <v>286.73856624659703</v>
      </c>
      <c r="D72" s="56">
        <f>(SUMPRODUCT(($F$31:$O$31+D$71*$F$6:$O$6*(1-$F$12:$O$12)*$F$28:$O$28)/(1+$B72)^$F$29:$O$29)+$O$6*((1+$C$26)*($C$36+D$71*(1-Zalozenia!$B$12))-Zalozenia!$B$35*$C$26)/($B72-$C$26)/(1+$B72)^$O$29-C52)/C54</f>
        <v>294.7471362096869</v>
      </c>
      <c r="E72" s="56">
        <f>(SUMPRODUCT(($F$31:$O$31+E$71*$F$6:$O$6*(1-$F$12:$O$12)*$F$28:$O$28)/(1+$B72)^$F$29:$O$29)+$O$6*((1+$C$26)*($C$36+E$71*(1-Zalozenia!$B$12))-Zalozenia!$B$35*$C$26)/($B72-$C$26)/(1+$B72)^$O$29-C52)/C54</f>
        <v>302.75570617277685</v>
      </c>
      <c r="F72" s="56">
        <f>(SUMPRODUCT(($F$31:$O$31+F$71*$F$6:$O$6*(1-$F$12:$O$12)*$F$28:$O$28)/(1+$B72)^$F$29:$O$29)+$O$6*((1+$C$26)*($C$36+F$71*(1-Zalozenia!$B$12))-Zalozenia!$B$35*$C$26)/($B72-$C$26)/(1+$B72)^$O$29-C52)/C54</f>
        <v>310.76427613586674</v>
      </c>
      <c r="G72" s="56">
        <f>(SUMPRODUCT(($F$31:$O$31+G$71*$F$6:$O$6*(1-$F$12:$O$12)*$F$28:$O$28)/(1+$B72)^$F$29:$O$29)+$O$6*((1+$C$26)*($C$36+G$71*(1-Zalozenia!$B$12))-Zalozenia!$B$35*$C$26)/($B72-$C$26)/(1+$B72)^$O$29-C52)/C54</f>
        <v>318.7728460989566</v>
      </c>
    </row>
    <row r="73" spans="1:16">
      <c r="B73" s="55">
        <f>$C$25+(-1)*Zalozenia!$B$41</f>
        <v>0.08502989999999999</v>
      </c>
      <c r="C73" s="56">
        <f>(SUMPRODUCT(($F$31:$O$31+C$71*$F$6:$O$6*(1-$F$12:$O$12)*$F$28:$O$28)/(1+$B73)^$F$29:$O$29)+$O$6*((1+$C$26)*($C$36+C$71*(1-Zalozenia!$B$12))-Zalozenia!$B$35*$C$26)/($B73-$C$26)/(1+$B73)^$O$29-C52)/C54</f>
        <v>249.73417207645844</v>
      </c>
      <c r="D73" s="56">
        <f>(SUMPRODUCT(($F$31:$O$31+D$71*$F$6:$O$6*(1-$F$12:$O$12)*$F$28:$O$28)/(1+$B73)^$F$29:$O$29)+$O$6*((1+$C$26)*($C$36+D$71*(1-Zalozenia!$B$12))-Zalozenia!$B$35*$C$26)/($B73-$C$26)/(1+$B73)^$O$29-C52)/C54</f>
        <v>256.7069267083229</v>
      </c>
      <c r="E73" s="56">
        <f>(SUMPRODUCT(($F$31:$O$31+E$71*$F$6:$O$6*(1-$F$12:$O$12)*$F$28:$O$28)/(1+$B73)^$F$29:$O$29)+$O$6*((1+$C$26)*($C$36+E$71*(1-Zalozenia!$B$12))-Zalozenia!$B$35*$C$26)/($B73-$C$26)/(1+$B73)^$O$29-C52)/C54</f>
        <v>263.67968134018747</v>
      </c>
      <c r="F73" s="56">
        <f>(SUMPRODUCT(($F$31:$O$31+F$71*$F$6:$O$6*(1-$F$12:$O$12)*$F$28:$O$28)/(1+$B73)^$F$29:$O$29)+$O$6*((1+$C$26)*($C$36+F$71*(1-Zalozenia!$B$12))-Zalozenia!$B$35*$C$26)/($B73-$C$26)/(1+$B73)^$O$29-C52)/C54</f>
        <v>270.652435972052</v>
      </c>
      <c r="G73" s="56">
        <f>(SUMPRODUCT(($F$31:$O$31+G$71*$F$6:$O$6*(1-$F$12:$O$12)*$F$28:$O$28)/(1+$B73)^$F$29:$O$29)+$O$6*((1+$C$26)*($C$36+G$71*(1-Zalozenia!$B$12))-Zalozenia!$B$35*$C$26)/($B73-$C$26)/(1+$B73)^$O$29-C52)/C54</f>
        <v>277.62519060391645</v>
      </c>
    </row>
    <row r="74" spans="1:16">
      <c r="B74" s="55">
        <f>$C$25+(0)*Zalozenia!$B$41</f>
        <v>0.0900299</v>
      </c>
      <c r="C74" s="56">
        <f>(SUMPRODUCT(($F$31:$O$31+C$71*$F$6:$O$6*(1-$F$12:$O$12)*$F$28:$O$28)/(1+$B74)^$F$29:$O$29)+$O$6*((1+$C$26)*($C$36+C$71*(1-Zalozenia!$B$12))-Zalozenia!$B$35*$C$26)/($B74-$C$26)/(1+$B74)^$O$29-C52)/C54</f>
        <v>220.9709919760269</v>
      </c>
      <c r="D74" s="56">
        <f>(SUMPRODUCT(($F$31:$O$31+D$71*$F$6:$O$6*(1-$F$12:$O$12)*$F$28:$O$28)/(1+$B74)^$F$29:$O$29)+$O$6*((1+$C$26)*($C$36+D$71*(1-Zalozenia!$B$12))-Zalozenia!$B$35*$C$26)/($B74-$C$26)/(1+$B74)^$O$29-C52)/C54</f>
        <v>227.138843226422</v>
      </c>
      <c r="E74" s="57">
        <f>(SUMPRODUCT(($F$31:$O$31+E$71*$F$6:$O$6*(1-$F$12:$O$12)*$F$28:$O$28)/(1+$B74)^$F$29:$O$29)+$O$6*((1+$C$26)*($C$36+E$71*(1-Zalozenia!$B$12))-Zalozenia!$B$35*$C$26)/($B74-$C$26)/(1+$B74)^$O$29-C52)/C54</f>
        <v>233.30669447681717</v>
      </c>
      <c r="F74" s="56">
        <f>(SUMPRODUCT(($F$31:$O$31+F$71*$F$6:$O$6*(1-$F$12:$O$12)*$F$28:$O$28)/(1+$B74)^$F$29:$O$29)+$O$6*((1+$C$26)*($C$36+F$71*(1-Zalozenia!$B$12))-Zalozenia!$B$35*$C$26)/($B74-$C$26)/(1+$B74)^$O$29-C52)/C54</f>
        <v>239.47454572721225</v>
      </c>
      <c r="G74" s="56">
        <f>(SUMPRODUCT(($F$31:$O$31+G$71*$F$6:$O$6*(1-$F$12:$O$12)*$F$28:$O$28)/(1+$B74)^$F$29:$O$29)+$O$6*((1+$C$26)*($C$36+G$71*(1-Zalozenia!$B$12))-Zalozenia!$B$35*$C$26)/($B74-$C$26)/(1+$B74)^$O$29-C52)/C54</f>
        <v>245.64239697760735</v>
      </c>
    </row>
    <row r="75" spans="1:16">
      <c r="B75" s="55">
        <f>$C$25+(1)*Zalozenia!$B$41</f>
        <v>0.0950299</v>
      </c>
      <c r="C75" s="56">
        <f>(SUMPRODUCT(($F$31:$O$31+C$71*$F$6:$O$6*(1-$F$12:$O$12)*$F$28:$O$28)/(1+$B75)^$F$29:$O$29)+$O$6*((1+$C$26)*($C$36+C$71*(1-Zalozenia!$B$12))-Zalozenia!$B$35*$C$26)/($B75-$C$26)/(1+$B75)^$O$29-C52)/C54</f>
        <v>197.97759361011873</v>
      </c>
      <c r="D75" s="56">
        <f>(SUMPRODUCT(($F$31:$O$31+D$71*$F$6:$O$6*(1-$F$12:$O$12)*$F$28:$O$28)/(1+$B75)^$F$29:$O$29)+$O$6*((1+$C$26)*($C$36+D$71*(1-Zalozenia!$B$12))-Zalozenia!$B$35*$C$26)/($B75-$C$26)/(1+$B75)^$O$29-C52)/C54</f>
        <v>203.5021971356049</v>
      </c>
      <c r="E75" s="56">
        <f>(SUMPRODUCT(($F$31:$O$31+E$71*$F$6:$O$6*(1-$F$12:$O$12)*$F$28:$O$28)/(1+$B75)^$F$29:$O$29)+$O$6*((1+$C$26)*($C$36+E$71*(1-Zalozenia!$B$12))-Zalozenia!$B$35*$C$26)/($B75-$C$26)/(1+$B75)^$O$29-C52)/C54</f>
        <v>209.02680066109102</v>
      </c>
      <c r="F75" s="56">
        <f>(SUMPRODUCT(($F$31:$O$31+F$71*$F$6:$O$6*(1-$F$12:$O$12)*$F$28:$O$28)/(1+$B75)^$F$29:$O$29)+$O$6*((1+$C$26)*($C$36+F$71*(1-Zalozenia!$B$12))-Zalozenia!$B$35*$C$26)/($B75-$C$26)/(1+$B75)^$O$29-C52)/C54</f>
        <v>214.5514041865772</v>
      </c>
      <c r="G75" s="56">
        <f>(SUMPRODUCT(($F$31:$O$31+G$71*$F$6:$O$6*(1-$F$12:$O$12)*$F$28:$O$28)/(1+$B75)^$F$29:$O$29)+$O$6*((1+$C$26)*($C$36+G$71*(1-Zalozenia!$B$12))-Zalozenia!$B$35*$C$26)/($B75-$C$26)/(1+$B75)^$O$29-C52)/C54</f>
        <v>220.0760077120633</v>
      </c>
    </row>
    <row r="76" spans="1:16">
      <c r="B76" s="55">
        <f>$C$25+(2)*Zalozenia!$B$41</f>
        <v>0.10002989999999999</v>
      </c>
      <c r="C76" s="56">
        <f>(SUMPRODUCT(($F$31:$O$31+C$71*$F$6:$O$6*(1-$F$12:$O$12)*$F$28:$O$28)/(1+$B76)^$F$29:$O$29)+$O$6*((1+$C$26)*($C$36+C$71*(1-Zalozenia!$B$12))-Zalozenia!$B$35*$C$26)/($B76-$C$26)/(1+$B76)^$O$29-C52)/C54</f>
        <v>179.1807739454686</v>
      </c>
      <c r="D76" s="56">
        <f>(SUMPRODUCT(($F$31:$O$31+D$71*$F$6:$O$6*(1-$F$12:$O$12)*$F$28:$O$28)/(1+$B76)^$F$29:$O$29)+$O$6*((1+$C$26)*($C$36+D$71*(1-Zalozenia!$B$12))-Zalozenia!$B$35*$C$26)/($B76-$C$26)/(1+$B76)^$O$29-C52)/C54</f>
        <v>184.1797003187827</v>
      </c>
      <c r="E76" s="56">
        <f>(SUMPRODUCT(($F$31:$O$31+E$71*$F$6:$O$6*(1-$F$12:$O$12)*$F$28:$O$28)/(1+$B76)^$F$29:$O$29)+$O$6*((1+$C$26)*($C$36+E$71*(1-Zalozenia!$B$12))-Zalozenia!$B$35*$C$26)/($B76-$C$26)/(1+$B76)^$O$29-C52)/C54</f>
        <v>189.1786266920968</v>
      </c>
      <c r="F76" s="56">
        <f>(SUMPRODUCT(($F$31:$O$31+F$71*$F$6:$O$6*(1-$F$12:$O$12)*$F$28:$O$28)/(1+$B76)^$F$29:$O$29)+$O$6*((1+$C$26)*($C$36+F$71*(1-Zalozenia!$B$12))-Zalozenia!$B$35*$C$26)/($B76-$C$26)/(1+$B76)^$O$29-C52)/C54</f>
        <v>194.17755306541085</v>
      </c>
      <c r="G76" s="56">
        <f>(SUMPRODUCT(($F$31:$O$31+G$71*$F$6:$O$6*(1-$F$12:$O$12)*$F$28:$O$28)/(1+$B76)^$F$29:$O$29)+$O$6*((1+$C$26)*($C$36+G$71*(1-Zalozenia!$B$12))-Zalozenia!$B$35*$C$26)/($B76-$C$26)/(1+$B76)^$O$29-C52)/C54</f>
        <v>199.17647943872495</v>
      </c>
    </row>
    <row r="78" spans="1:16">
      <c r="A78" s="3" t="s">
        <v>189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>
      <c r="A79" s="35" t="s">
        <v>190</v>
      </c>
      <c r="B79" s="35" t="s">
        <v>191</v>
      </c>
    </row>
    <row r="80" spans="1:16">
      <c r="A80" s="59">
        <f>$C$26+0.005+0.0025*0</f>
        <v>0.049999999999999996</v>
      </c>
      <c r="B80" s="52">
        <f>(SUMPRODUCT(($F$31:$O$31)/(1+$A80)^$F$29:$O$29)+$O$6*((1+$C$26)*$C$36-Zalozenia!$B$35*$C$26)/($A80-$C$26)/(1+$A80)^$O$29-C52)/C54</f>
        <v>2186.8189707464003</v>
      </c>
    </row>
    <row r="81" spans="1:2">
      <c r="A81" s="59">
        <f>$C$26+0.005+0.0025*1</f>
        <v>0.0525</v>
      </c>
      <c r="B81" s="52">
        <f>(SUMPRODUCT(($F$31:$O$31)/(1+$A81)^$F$29:$O$29)+$O$6*((1+$C$26)*$C$36-Zalozenia!$B$35*$C$26)/($A81-$C$26)/(1+$A81)^$O$29-C52)/C54</f>
        <v>1453.994195893004</v>
      </c>
    </row>
    <row r="82" spans="1:2">
      <c r="A82" s="59">
        <f>$C$26+0.005+0.0025*2</f>
        <v>0.05499999999999999</v>
      </c>
      <c r="B82" s="52">
        <f>(SUMPRODUCT(($F$31:$O$31)/(1+$A82)^$F$29:$O$29)+$O$6*((1+$C$26)*$C$36-Zalozenia!$B$35*$C$26)/($A82-$C$26)/(1+$A82)^$O$29-C52)/C54</f>
        <v>1087.615670542455</v>
      </c>
    </row>
    <row r="83" spans="1:2">
      <c r="A83" s="59">
        <f>$C$26+0.005+0.0025*3</f>
        <v>0.057499999999999996</v>
      </c>
      <c r="B83" s="52">
        <f>(SUMPRODUCT(($F$31:$O$31)/(1+$A83)^$F$29:$O$29)+$O$6*((1+$C$26)*$C$36-Zalozenia!$B$35*$C$26)/($A83-$C$26)/(1+$A83)^$O$29-C52)/C54</f>
        <v>867.8152773310882</v>
      </c>
    </row>
    <row r="84" spans="1:2">
      <c r="A84" s="59">
        <f>$C$26+0.005+0.0025*4</f>
        <v>0.06</v>
      </c>
      <c r="B84" s="52">
        <f>(SUMPRODUCT(($F$31:$O$31)/(1+$A84)^$F$29:$O$29)+$O$6*((1+$C$26)*$C$36-Zalozenia!$B$35*$C$26)/($A84-$C$26)/(1+$A84)^$O$29-C52)/C54</f>
        <v>721.3036486568484</v>
      </c>
    </row>
    <row r="85" spans="1:2">
      <c r="A85" s="59">
        <f>$C$26+0.005+0.0025*5</f>
        <v>0.0625</v>
      </c>
      <c r="B85" s="52">
        <f>(SUMPRODUCT(($F$31:$O$31)/(1+$A85)^$F$29:$O$29)+$O$6*((1+$C$26)*$C$36-Zalozenia!$B$35*$C$26)/($A85-$C$26)/(1+$A85)^$O$29-C52)/C54</f>
        <v>616.6710596328772</v>
      </c>
    </row>
    <row r="86" spans="1:2">
      <c r="A86" s="59">
        <f>$C$26+0.005+0.0025*6</f>
        <v>0.065</v>
      </c>
      <c r="B86" s="52">
        <f>(SUMPRODUCT(($F$31:$O$31)/(1+$A86)^$F$29:$O$29)+$O$6*((1+$C$26)*$C$36-Zalozenia!$B$35*$C$26)/($A86-$C$26)/(1+$A86)^$O$29-C52)/C54</f>
        <v>538.212651327158</v>
      </c>
    </row>
    <row r="87" spans="1:2">
      <c r="A87" s="59">
        <f>$C$26+0.005+0.0025*7</f>
        <v>0.0675</v>
      </c>
      <c r="B87" s="52">
        <f>(SUMPRODUCT(($F$31:$O$31)/(1+$A87)^$F$29:$O$29)+$O$6*((1+$C$26)*$C$36-Zalozenia!$B$35*$C$26)/($A87-$C$26)/(1+$A87)^$O$29-C52)/C54</f>
        <v>477.20350517680754</v>
      </c>
    </row>
    <row r="88" spans="1:2">
      <c r="A88" s="59">
        <f>$C$26+0.005+0.0025*8</f>
        <v>0.06999999999999999</v>
      </c>
      <c r="B88" s="52">
        <f>(SUMPRODUCT(($F$31:$O$31)/(1+$A88)^$F$29:$O$29)+$O$6*((1+$C$26)*$C$36-Zalozenia!$B$35*$C$26)/($A88-$C$26)/(1+$A88)^$O$29-C52)/C54</f>
        <v>428.40867275474164</v>
      </c>
    </row>
    <row r="89" spans="1:2">
      <c r="A89" s="59">
        <f>$C$26+0.005+0.0025*9</f>
        <v>0.0725</v>
      </c>
      <c r="B89" s="52">
        <f>(SUMPRODUCT(($F$31:$O$31)/(1+$A89)^$F$29:$O$29)+$O$6*((1+$C$26)*$C$36-Zalozenia!$B$35*$C$26)/($A89-$C$26)/(1+$A89)^$O$29-C52)/C54</f>
        <v>388.4968256644666</v>
      </c>
    </row>
    <row r="90" spans="1:2">
      <c r="A90" s="59">
        <f>$C$26+0.005+0.0025*10</f>
        <v>0.075</v>
      </c>
      <c r="B90" s="52">
        <f>(SUMPRODUCT(($F$31:$O$31)/(1+$A90)^$F$29:$O$29)+$O$6*((1+$C$26)*$C$36-Zalozenia!$B$35*$C$26)/($A90-$C$26)/(1+$A90)^$O$29-C52)/C54</f>
        <v>355.2470804882308</v>
      </c>
    </row>
    <row r="91" spans="1:2">
      <c r="A91" s="59">
        <f>$C$26+0.005+0.0025*11</f>
        <v>0.0775</v>
      </c>
      <c r="B91" s="52">
        <f>(SUMPRODUCT(($F$31:$O$31)/(1+$A91)^$F$29:$O$29)+$O$6*((1+$C$26)*$C$36-Zalozenia!$B$35*$C$26)/($A91-$C$26)/(1+$A91)^$O$29-C52)/C54</f>
        <v>327.1219045290312</v>
      </c>
    </row>
    <row r="92" spans="1:2">
      <c r="A92" s="59">
        <f>$C$26+0.005+0.0025*12</f>
        <v>0.07999999999999999</v>
      </c>
      <c r="B92" s="52">
        <f>(SUMPRODUCT(($F$31:$O$31)/(1+$A92)^$F$29:$O$29)+$O$6*((1+$C$26)*$C$36-Zalozenia!$B$35*$C$26)/($A92-$C$26)/(1+$A92)^$O$29-C52)/C54</f>
        <v>303.0230619495277</v>
      </c>
    </row>
    <row r="93" spans="1:2">
      <c r="A93" s="59">
        <f>$C$26+0.005+0.0025*13</f>
        <v>0.08249999999999999</v>
      </c>
      <c r="B93" s="52">
        <f>(SUMPRODUCT(($F$31:$O$31)/(1+$A93)^$F$29:$O$29)+$O$6*((1+$C$26)*$C$36-Zalozenia!$B$35*$C$26)/($A93-$C$26)/(1+$A93)^$O$29-C52)/C54</f>
        <v>282.14518145596685</v>
      </c>
    </row>
    <row r="94" spans="1:2">
      <c r="A94" s="59">
        <f>$C$26+0.005+0.0025*14</f>
        <v>0.08499999999999999</v>
      </c>
      <c r="B94" s="52">
        <f>(SUMPRODUCT(($F$31:$O$31)/(1+$A94)^$F$29:$O$29)+$O$6*((1+$C$26)*$C$36-Zalozenia!$B$35*$C$26)/($A94-$C$26)/(1+$A94)^$O$29-C52)/C54</f>
        <v>263.8842361011593</v>
      </c>
    </row>
    <row r="95" spans="1:2">
      <c r="A95" s="59">
        <f>$C$26+0.005+0.0025*15</f>
        <v>0.0875</v>
      </c>
      <c r="B95" s="52">
        <f>(SUMPRODUCT(($F$31:$O$31)/(1+$A95)^$F$29:$O$29)+$O$6*((1+$C$26)*$C$36-Zalozenia!$B$35*$C$26)/($A95-$C$26)/(1+$A95)^$O$29-C52)/C54</f>
        <v>247.77832433395318</v>
      </c>
    </row>
    <row r="96" spans="1:2">
      <c r="A96" s="59">
        <f>$C$26+0.005+0.0025*16</f>
        <v>0.09</v>
      </c>
      <c r="B96" s="52">
        <f>(SUMPRODUCT(($F$31:$O$31)/(1+$A96)^$F$29:$O$29)+$O$6*((1+$C$26)*$C$36-Zalozenia!$B$35*$C$26)/($A96-$C$26)/(1+$A96)^$O$29-C52)/C54</f>
        <v>233.46819069933304</v>
      </c>
    </row>
    <row r="97" spans="1:2">
      <c r="A97" s="59">
        <f>$C$26+0.005+0.0025*17</f>
        <v>0.0925</v>
      </c>
      <c r="B97" s="52">
        <f>(SUMPRODUCT(($F$31:$O$31)/(1+$A97)^$F$29:$O$29)+$O$6*((1+$C$26)*$C$36-Zalozenia!$B$35*$C$26)/($A97-$C$26)/(1+$A97)^$O$29-C52)/C54</f>
        <v>220.67021368627422</v>
      </c>
    </row>
    <row r="98" spans="1:2">
      <c r="A98" s="59">
        <f>$C$26+0.005+0.0025*18</f>
        <v>0.095</v>
      </c>
      <c r="B98" s="52">
        <f>(SUMPRODUCT(($F$31:$O$31)/(1+$A98)^$F$29:$O$29)+$O$6*((1+$C$26)*$C$36-Zalozenia!$B$35*$C$26)/($A98-$C$26)/(1+$A98)^$O$29-C52)/C54</f>
        <v>209.157497221628</v>
      </c>
    </row>
    <row r="99" spans="1:2">
      <c r="A99" s="59">
        <f>$C$26+0.005+0.0025*19</f>
        <v>0.0975</v>
      </c>
      <c r="B99" s="52">
        <f>(SUMPRODUCT(($F$31:$O$31)/(1+$A99)^$F$29:$O$29)+$O$6*((1+$C$26)*$C$36-Zalozenia!$B$35*$C$26)/($A99-$C$26)/(1+$A99)^$O$29-C52)/C54</f>
        <v>198.7463645946909</v>
      </c>
    </row>
    <row r="100" spans="1:2">
      <c r="A100" s="59">
        <f>$C$26+0.005+0.0025*20</f>
        <v>0.1</v>
      </c>
      <c r="B100" s="52">
        <f>(SUMPRODUCT(($F$31:$O$31)/(1+$A100)^$F$29:$O$29)+$O$6*((1+$C$26)*$C$36-Zalozenia!$B$35*$C$26)/($A100-$C$26)/(1+$A100)^$O$29-C52)/C54</f>
        <v>189.28653585722998</v>
      </c>
    </row>
    <row r="101" spans="1:2">
      <c r="A101" s="59">
        <f>$C$26+0.005+0.0025*21</f>
        <v>0.1025</v>
      </c>
      <c r="B101" s="52">
        <f>(SUMPRODUCT(($F$31:$O$31)/(1+$A101)^$F$29:$O$29)+$O$6*((1+$C$26)*$C$36-Zalozenia!$B$35*$C$26)/($A101-$C$26)/(1+$A101)^$O$29-C52)/C54</f>
        <v>180.65386764121277</v>
      </c>
    </row>
    <row r="102" spans="1:2">
      <c r="A102" s="59">
        <f>$C$26+0.005+0.0025*22</f>
        <v>0.105</v>
      </c>
      <c r="B102" s="52">
        <f>(SUMPRODUCT(($F$31:$O$31)/(1+$A102)^$F$29:$O$29)+$O$6*((1+$C$26)*$C$36-Zalozenia!$B$35*$C$26)/($A102-$C$26)/(1+$A102)^$O$29-C52)/C54</f>
        <v>172.74490802240126</v>
      </c>
    </row>
    <row r="103" spans="1:2">
      <c r="A103" s="59">
        <f>$C$26+0.005+0.0025*23</f>
        <v>0.1075</v>
      </c>
      <c r="B103" s="52">
        <f>(SUMPRODUCT(($F$31:$O$31)/(1+$A103)^$F$29:$O$29)+$O$6*((1+$C$26)*$C$36-Zalozenia!$B$35*$C$26)/($A103-$C$26)/(1+$A103)^$O$29-C52)/C54</f>
        <v>165.47275821696743</v>
      </c>
    </row>
    <row r="104" spans="1:2">
      <c r="A104" s="59">
        <f>$C$26+0.005+0.0025*24</f>
        <v>0.10999999999999999</v>
      </c>
      <c r="B104" s="52">
        <f>(SUMPRODUCT(($F$31:$O$31)/(1+$A104)^$F$29:$O$29)+$O$6*((1+$C$26)*$C$36-Zalozenia!$B$35*$C$26)/($A104-$C$26)/(1+$A104)^$O$29-C52)/C54</f>
        <v>158.76388927146178</v>
      </c>
    </row>
    <row r="105" spans="1:2">
      <c r="A105" s="59">
        <f>$C$26+0.005+0.0025*25</f>
        <v>0.11249999999999999</v>
      </c>
      <c r="B105" s="52">
        <f>(SUMPRODUCT(($F$31:$O$31)/(1+$A105)^$F$29:$O$29)+$O$6*((1+$C$26)*$C$36-Zalozenia!$B$35*$C$26)/($A105-$C$26)/(1+$A105)^$O$29-C52)/C54</f>
        <v>152.555666155261</v>
      </c>
    </row>
    <row r="106" spans="1:2">
      <c r="A106" s="59">
        <f>$C$26+0.005+0.0025*26</f>
        <v>0.11499999999999999</v>
      </c>
      <c r="B106" s="52">
        <f>(SUMPRODUCT(($F$31:$O$31)/(1+$A106)^$F$29:$O$29)+$O$6*((1+$C$26)*$C$36-Zalozenia!$B$35*$C$26)/($A106-$C$26)/(1+$A106)^$O$29-C52)/C54</f>
        <v>146.79440240487216</v>
      </c>
    </row>
    <row r="107" spans="1:2">
      <c r="A107" s="59">
        <f>$C$26+0.005+0.0025*27</f>
        <v>0.1175</v>
      </c>
      <c r="B107" s="52">
        <f>(SUMPRODUCT(($F$31:$O$31)/(1+$A107)^$F$29:$O$29)+$O$6*((1+$C$26)*$C$36-Zalozenia!$B$35*$C$26)/($A107-$C$26)/(1+$A107)^$O$29-C52)/C54</f>
        <v>141.43381725584376</v>
      </c>
    </row>
    <row r="108" spans="1:2">
      <c r="A108" s="59">
        <f>$C$26+0.005+0.0025*28</f>
        <v>0.12</v>
      </c>
      <c r="B108" s="52">
        <f>(SUMPRODUCT(($F$31:$O$31)/(1+$A108)^$F$29:$O$29)+$O$6*((1+$C$26)*$C$36-Zalozenia!$B$35*$C$26)/($A108-$C$26)/(1+$A108)^$O$29-C52)/C54</f>
        <v>136.43380134850855</v>
      </c>
    </row>
    <row r="109" spans="1:2">
      <c r="A109" s="59">
        <f>$C$26+0.005+0.0025*29</f>
        <v>0.1225</v>
      </c>
      <c r="B109" s="52">
        <f>(SUMPRODUCT(($F$31:$O$31)/(1+$A109)^$F$29:$O$29)+$O$6*((1+$C$26)*$C$36-Zalozenia!$B$35*$C$26)/($A109-$C$26)/(1+$A109)^$O$29-C52)/C54</f>
        <v>131.7594213295904</v>
      </c>
    </row>
    <row r="110" spans="1:2">
      <c r="A110" s="59">
        <f>$C$26+0.005+0.0025*30</f>
        <v>0.125</v>
      </c>
      <c r="B110" s="52">
        <f>(SUMPRODUCT(($F$31:$O$31)/(1+$A110)^$F$29:$O$29)+$O$6*((1+$C$26)*$C$36-Zalozenia!$B$35*$C$26)/($A110-$C$26)/(1+$A110)^$O$29-C52)/C54</f>
        <v>127.3801110911991</v>
      </c>
    </row>
    <row r="111" spans="1:2">
      <c r="A111" s="59">
        <f>$C$26+0.005+0.0025*31</f>
        <v>0.1275</v>
      </c>
      <c r="B111" s="52">
        <f>(SUMPRODUCT(($F$31:$O$31)/(1+$A111)^$F$29:$O$29)+$O$6*((1+$C$26)*$C$36-Zalozenia!$B$35*$C$26)/($A111-$C$26)/(1+$A111)^$O$29-C52)/C54</f>
        <v>123.26901005746396</v>
      </c>
    </row>
    <row r="112" spans="1:2">
      <c r="A112" s="59">
        <f>$C$26+0.005+0.0025*32</f>
        <v>0.13</v>
      </c>
      <c r="B112" s="52">
        <f>(SUMPRODUCT(($F$31:$O$31)/(1+$A112)^$F$29:$O$29)+$O$6*((1+$C$26)*$C$36-Zalozenia!$B$35*$C$26)/($A112-$C$26)/(1+$A112)^$O$29-C52)/C54</f>
        <v>119.40241824428642</v>
      </c>
    </row>
    <row r="113" spans="1:2">
      <c r="A113" s="59">
        <f>$C$26+0.005+0.0025*33</f>
        <v>0.1325</v>
      </c>
      <c r="B113" s="52">
        <f>(SUMPRODUCT(($F$31:$O$31)/(1+$A113)^$F$29:$O$29)+$O$6*((1+$C$26)*$C$36-Zalozenia!$B$35*$C$26)/($A113-$C$26)/(1+$A113)^$O$29-C52)/C54</f>
        <v>115.75934473758521</v>
      </c>
    </row>
    <row r="114" spans="1:2">
      <c r="A114" s="59">
        <f>$C$26+0.005+0.0025*34</f>
        <v>0.135</v>
      </c>
      <c r="B114" s="52">
        <f>(SUMPRODUCT(($F$31:$O$31)/(1+$A114)^$F$29:$O$29)+$O$6*((1+$C$26)*$C$36-Zalozenia!$B$35*$C$26)/($A114-$C$26)/(1+$A114)^$O$29-C52)/C54</f>
        <v>112.32113142532467</v>
      </c>
    </row>
    <row r="115" spans="1:2">
      <c r="A115" s="59">
        <f>$C$26+0.005+0.0025*35</f>
        <v>0.1375</v>
      </c>
      <c r="B115" s="52">
        <f>(SUMPRODUCT(($F$31:$O$31)/(1+$A115)^$F$29:$O$29)+$O$6*((1+$C$26)*$C$36-Zalozenia!$B$35*$C$26)/($A115-$C$26)/(1+$A115)^$O$29-C52)/C54</f>
        <v>109.07113774611899</v>
      </c>
    </row>
    <row r="116" spans="1:2">
      <c r="A116" s="59">
        <f>$C$26+0.005+0.0025*36</f>
        <v>0.13999999999999999</v>
      </c>
      <c r="B116" s="52">
        <f>(SUMPRODUCT(($F$31:$O$31)/(1+$A116)^$F$29:$O$29)+$O$6*((1+$C$26)*$C$36-Zalozenia!$B$35*$C$26)/($A116-$C$26)/(1+$A116)^$O$29-C52)/C54</f>
        <v>105.99447521451667</v>
      </c>
    </row>
    <row r="117" spans="1:2">
      <c r="A117" s="59">
        <f>$C$26+0.005+0.0025*37</f>
        <v>0.1425</v>
      </c>
      <c r="B117" s="52">
        <f>(SUMPRODUCT(($F$31:$O$31)/(1+$A117)^$F$29:$O$29)+$O$6*((1+$C$26)*$C$36-Zalozenia!$B$35*$C$26)/($A117-$C$26)/(1+$A117)^$O$29-C52)/C54</f>
        <v>103.07778278868419</v>
      </c>
    </row>
    <row r="118" spans="1:2">
      <c r="A118" s="59">
        <f>$C$26+0.005+0.0025*38</f>
        <v>0.145</v>
      </c>
      <c r="B118" s="52">
        <f>(SUMPRODUCT(($F$31:$O$31)/(1+$A118)^$F$29:$O$29)+$O$6*((1+$C$26)*$C$36-Zalozenia!$B$35*$C$26)/($A118-$C$26)/(1+$A118)^$O$29-C52)/C54</f>
        <v>100.30903593306822</v>
      </c>
    </row>
    <row r="119" spans="1:2">
      <c r="A119" s="59">
        <f>$C$26+0.005+0.0025*39</f>
        <v>0.1475</v>
      </c>
      <c r="B119" s="52">
        <f>(SUMPRODUCT(($F$31:$O$31)/(1+$A119)^$F$29:$O$29)+$O$6*((1+$C$26)*$C$36-Zalozenia!$B$35*$C$26)/($A119-$C$26)/(1+$A119)^$O$29-C52)/C54</f>
        <v>97.67738362323041</v>
      </c>
    </row>
    <row r="120" spans="1:2">
      <c r="A120" s="59">
        <f>$C$26+0.005+0.0025*40</f>
        <v>0.15</v>
      </c>
      <c r="B120" s="52">
        <f>(SUMPRODUCT(($F$31:$O$31)/(1+$A120)^$F$29:$O$29)+$O$6*((1+$C$26)*$C$36-Zalozenia!$B$35*$C$26)/($A120-$C$26)/(1+$A120)^$O$29-C52)/C54</f>
        <v>95.17300863582604</v>
      </c>
    </row>
    <row r="121" spans="1:2">
      <c r="A121" s="59">
        <f>$C$26+0.005+0.0025*41</f>
        <v>0.1525</v>
      </c>
      <c r="B121" s="52">
        <f>(SUMPRODUCT(($F$31:$O$31)/(1+$A121)^$F$29:$O$29)+$O$6*((1+$C$26)*$C$36-Zalozenia!$B$35*$C$26)/($A121-$C$26)/(1+$A121)^$O$29-C52)/C54</f>
        <v>92.78700733311778</v>
      </c>
    </row>
    <row r="122" spans="1:2">
      <c r="A122" s="59">
        <f>$C$26+0.005+0.0025*42</f>
        <v>0.155</v>
      </c>
      <c r="B122" s="52">
        <f>(SUMPRODUCT(($F$31:$O$31)/(1+$A122)^$F$29:$O$29)+$O$6*((1+$C$26)*$C$36-Zalozenia!$B$35*$C$26)/($A122-$C$26)/(1+$A122)^$O$29-C52)/C54</f>
        <v>90.51128584061999</v>
      </c>
    </row>
    <row r="123" spans="1:2">
      <c r="A123" s="59">
        <f>$C$26+0.005+0.0025*43</f>
        <v>0.1575</v>
      </c>
      <c r="B123" s="52">
        <f>(SUMPRODUCT(($F$31:$O$31)/(1+$A123)^$F$29:$O$29)+$O$6*((1+$C$26)*$C$36-Zalozenia!$B$35*$C$26)/($A123-$C$26)/(1+$A123)^$O$29-C52)/C54</f>
        <v>88.33847006782752</v>
      </c>
    </row>
    <row r="124" spans="1:2">
      <c r="A124" s="59">
        <f>$C$26+0.005+0.0025*44</f>
        <v>0.16</v>
      </c>
      <c r="B124" s="52">
        <f>(SUMPRODUCT(($F$31:$O$31)/(1+$A124)^$F$29:$O$29)+$O$6*((1+$C$26)*$C$36-Zalozenia!$B$35*$C$26)/($A124-$C$26)/(1+$A124)^$O$29-C52)/C54</f>
        <v>86.26182746547275</v>
      </c>
    </row>
    <row r="125" spans="1:2">
      <c r="A125" s="59">
        <f>$C$26+0.005+0.0025*45</f>
        <v>0.1625</v>
      </c>
      <c r="B125" s="52">
        <f>(SUMPRODUCT(($F$31:$O$31)/(1+$A125)^$F$29:$O$29)+$O$6*((1+$C$26)*$C$36-Zalozenia!$B$35*$C$26)/($A125-$C$26)/(1+$A125)^$O$29-C52)/C54</f>
        <v>84.27519877131327</v>
      </c>
    </row>
    <row r="126" spans="1:2">
      <c r="A126" s="59">
        <f>$C$26+0.005+0.0025*46</f>
        <v>0.165</v>
      </c>
      <c r="B126" s="52">
        <f>(SUMPRODUCT(($F$31:$O$31)/(1+$A126)^$F$29:$O$29)+$O$6*((1+$C$26)*$C$36-Zalozenia!$B$35*$C$26)/($A126-$C$26)/(1+$A126)^$O$29-C52)/C54</f>
        <v>82.37293828778964</v>
      </c>
    </row>
    <row r="127" spans="1:2">
      <c r="A127" s="59">
        <f>$C$26+0.005+0.0025*47</f>
        <v>0.1675</v>
      </c>
      <c r="B127" s="52">
        <f>(SUMPRODUCT(($F$31:$O$31)/(1+$A127)^$F$29:$O$29)+$O$6*((1+$C$26)*$C$36-Zalozenia!$B$35*$C$26)/($A127-$C$26)/(1+$A127)^$O$29-C52)/C54</f>
        <v>80.54986147271038</v>
      </c>
    </row>
    <row r="128" spans="1:2">
      <c r="A128" s="59">
        <f>$C$26+0.005+0.0025*48</f>
        <v>0.16999999999999998</v>
      </c>
      <c r="B128" s="52">
        <f>(SUMPRODUCT(($F$31:$O$31)/(1+$A128)^$F$29:$O$29)+$O$6*((1+$C$26)*$C$36-Zalozenia!$B$35*$C$26)/($A128-$C$26)/(1+$A128)^$O$29-C52)/C54</f>
        <v>78.8011988191413</v>
      </c>
    </row>
    <row r="130" spans="1:1">
      <c r="A130" s="2" t="s">
        <v>192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51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"/>
  <cols>
    <col min="1" max="1" width="58.7109375" customWidth="1"/>
    <col min="2" max="5" width="17.7109375" customWidth="1"/>
    <col min="6" max="6" width="3.7109375" customWidth="1"/>
    <col min="7" max="7" width="60.7109375" customWidth="1"/>
  </cols>
  <sheetData>
    <row r="1" spans="1:5">
      <c r="A1" s="1" t="s">
        <v>195</v>
      </c>
    </row>
    <row r="2" spans="1:5">
      <c r="A2" s="2" t="str">
        <f>Zalozenia!$B$5&amp;" ("&amp;Zalozenia!$B$6&amp;"). Wynik modelu autora, nie rekomendacja inwestycyjna."</f>
        <v>ServiceNow, Inc. (NOW). Wynik modelu autora, nie rekomendacja inwestycyjna.</v>
      </c>
    </row>
    <row r="3" spans="1:5">
      <c r="A3" s="7" t="s">
        <v>27</v>
      </c>
      <c r="B3" s="60">
        <f>Zalozenia!$B$8</f>
        <v>46302</v>
      </c>
    </row>
    <row r="5" spans="1:5">
      <c r="A5" s="21" t="s">
        <v>196</v>
      </c>
      <c r="B5" s="18" t="s">
        <v>197</v>
      </c>
      <c r="C5" s="18" t="s">
        <v>198</v>
      </c>
      <c r="D5" s="18" t="s">
        <v>199</v>
      </c>
      <c r="E5" s="18" t="s">
        <v>200</v>
      </c>
    </row>
    <row r="6" spans="1:5">
      <c r="A6" s="46" t="s">
        <v>201</v>
      </c>
      <c r="B6" s="61">
        <f>Zalozenia!$B$60</f>
        <v>0.25</v>
      </c>
      <c r="C6" s="61">
        <f>Zalozenia!$B$69</f>
        <v>0.5</v>
      </c>
      <c r="D6" s="61">
        <f>Zalozenia!$B$78</f>
        <v>0.25</v>
      </c>
      <c r="E6" s="34">
        <f>SUM(B6:D6)</f>
        <v>1.0</v>
      </c>
    </row>
    <row r="7" spans="1:5">
      <c r="A7" s="46" t="s">
        <v>190</v>
      </c>
      <c r="B7" s="62">
        <f>DCF_Pesymistyczny!$C$25</f>
        <v>0.1050299</v>
      </c>
      <c r="C7" s="62">
        <f>DCF_Bazowy!$C$25</f>
        <v>0.0950299</v>
      </c>
      <c r="D7" s="62">
        <f>DCF_Optymistyczny!$C$25</f>
        <v>0.0900299</v>
      </c>
    </row>
    <row r="8" spans="1:5">
      <c r="A8" s="46" t="s">
        <v>99</v>
      </c>
      <c r="B8" s="62">
        <f>DCF_Pesymistyczny!$C$26</f>
        <v>0.035</v>
      </c>
      <c r="C8" s="62">
        <f>DCF_Bazowy!$C$26</f>
        <v>0.04</v>
      </c>
      <c r="D8" s="62">
        <f>DCF_Optymistyczny!$C$26</f>
        <v>0.045</v>
      </c>
    </row>
    <row r="9" spans="1:5">
      <c r="A9" s="46" t="s">
        <v>202</v>
      </c>
      <c r="B9" s="61">
        <f>DCF_Pesymistyczny!$O$7</f>
        <v>0.355</v>
      </c>
      <c r="C9" s="61">
        <f>DCF_Bazowy!$O$7</f>
        <v>0.4</v>
      </c>
      <c r="D9" s="61">
        <f>DCF_Optymistyczny!$O$7</f>
        <v>0.425</v>
      </c>
    </row>
    <row r="10" spans="1:5">
      <c r="A10" s="46" t="s">
        <v>203</v>
      </c>
      <c r="B10" s="63">
        <f>DCF_Pesymistyczny!$C$50</f>
        <v>92539.84314531465</v>
      </c>
      <c r="C10" s="63">
        <f>DCF_Bazowy!$C$50</f>
        <v>169039.8592778234</v>
      </c>
      <c r="D10" s="63">
        <f>DCF_Optymistyczny!$C$50</f>
        <v>242049.12208902888</v>
      </c>
      <c r="E10" s="64">
        <f>SUMPRODUCT($B$6:$D$6,B10:D10)</f>
        <v>168167.1709474976</v>
      </c>
    </row>
    <row r="11" spans="1:5">
      <c r="A11" s="46" t="s">
        <v>204</v>
      </c>
      <c r="B11" s="63">
        <f>DCF_Pesymistyczny!$C$53</f>
        <v>91729.84314531465</v>
      </c>
      <c r="C11" s="63">
        <f>DCF_Bazowy!$C$53</f>
        <v>168229.8592778234</v>
      </c>
      <c r="D11" s="63">
        <f>DCF_Optymistyczny!$C$53</f>
        <v>241239.12208902888</v>
      </c>
      <c r="E11" s="64">
        <f>SUMPRODUCT($B$6:$D$6,B11:D11)</f>
        <v>167357.1709474976</v>
      </c>
    </row>
    <row r="12" spans="1:5">
      <c r="A12" s="35" t="s">
        <v>205</v>
      </c>
      <c r="B12" s="65">
        <f>DCF_Pesymistyczny!$C$55</f>
        <v>88.71358137844743</v>
      </c>
      <c r="C12" s="65">
        <f>DCF_Bazowy!$C$55</f>
        <v>162.69812309267252</v>
      </c>
      <c r="D12" s="65">
        <f>DCF_Optymistyczny!$C$55</f>
        <v>233.3066944768171</v>
      </c>
      <c r="E12" s="57">
        <f>SUMPRODUCT($B$6:$D$6,B12:D12)</f>
        <v>161.8541305101524</v>
      </c>
    </row>
    <row r="13" spans="1:5">
      <c r="A13" s="46" t="s">
        <v>181</v>
      </c>
      <c r="B13" s="61">
        <f>DCF_Pesymistyczny!$C$57</f>
        <v>-0.3565418047548602</v>
      </c>
      <c r="C13" s="61">
        <f>DCF_Bazowy!$C$57</f>
        <v>0.1800835794057627</v>
      </c>
      <c r="D13" s="61">
        <f>DCF_Optymistyczny!$C$57</f>
        <v>0.6922223433438537</v>
      </c>
      <c r="E13" s="34">
        <f>E12/B19-1</f>
        <v>0.1739619243501298</v>
      </c>
    </row>
    <row r="14" spans="1:5">
      <c r="A14" s="46" t="s">
        <v>173</v>
      </c>
      <c r="B14" s="61">
        <f>DCF_Pesymistyczny!$C$51</f>
        <v>0.5707893384978754</v>
      </c>
      <c r="C14" s="61">
        <f>DCF_Bazowy!$C$51</f>
        <v>0.664249976351853</v>
      </c>
      <c r="D14" s="61">
        <f>DCF_Optymistyczny!$C$51</f>
        <v>0.7215119050327609</v>
      </c>
    </row>
    <row r="15" spans="1:5">
      <c r="A15" s="46" t="s">
        <v>206</v>
      </c>
      <c r="B15" s="66">
        <f>DCF_Pesymistyczny!$C$40</f>
        <v>10.548070572078668</v>
      </c>
      <c r="C15" s="66">
        <f>DCF_Bazowy!$C$40</f>
        <v>13.708479622998587</v>
      </c>
      <c r="D15" s="66">
        <f>DCF_Optymistyczny!$C$40</f>
        <v>16.97219562688446</v>
      </c>
    </row>
    <row r="16" spans="1:5">
      <c r="A16" s="46" t="s">
        <v>207</v>
      </c>
      <c r="B16" s="61" t="str">
        <f>DCF_Pesymistyczny!$C$43</f>
        <v>n/d</v>
      </c>
      <c r="C16" s="61" t="str">
        <f>DCF_Bazowy!$C$43</f>
        <v>n/d</v>
      </c>
      <c r="D16" s="61" t="str">
        <f>DCF_Optymistyczny!$C$43</f>
        <v>n/d</v>
      </c>
    </row>
    <row r="17" spans="1:5">
      <c r="A17" s="46" t="s">
        <v>208</v>
      </c>
      <c r="B17" s="61" t="str">
        <f>DCF_Pesymistyczny!$C$44</f>
        <v>n/d</v>
      </c>
      <c r="C17" s="61" t="str">
        <f>DCF_Bazowy!$C$44</f>
        <v>n/d</v>
      </c>
      <c r="D17" s="61" t="str">
        <f>DCF_Optymistyczny!$C$44</f>
        <v>n/d</v>
      </c>
    </row>
    <row r="18" spans="1:5">
      <c r="A18" s="35" t="s">
        <v>209</v>
      </c>
      <c r="B18" s="67">
        <f>DCF_Pesymistyczny!$C$60</f>
        <v>0.0803539916447264</v>
      </c>
      <c r="C18" s="67">
        <f>DCF_Bazowy!$C$60</f>
        <v>0.1045048615548072</v>
      </c>
      <c r="D18" s="67">
        <f>DCF_Optymistyczny!$C$60</f>
        <v>0.11928190295885634</v>
      </c>
    </row>
    <row r="19" spans="1:5">
      <c r="A19" s="7" t="s">
        <v>210</v>
      </c>
      <c r="B19" s="50">
        <f>Zalozenia!$B$9</f>
        <v>137.87</v>
      </c>
      <c r="C19" s="50">
        <f>$B$19</f>
        <v>137.87</v>
      </c>
      <c r="D19" s="50">
        <f>$B$19</f>
        <v>137.87</v>
      </c>
      <c r="E19" s="50">
        <f>$B$19</f>
        <v>137.87</v>
      </c>
    </row>
    <row r="21" spans="1:5">
      <c r="A21" s="3" t="s">
        <v>211</v>
      </c>
      <c r="B21" s="3"/>
      <c r="C21" s="3"/>
      <c r="D21" s="3"/>
      <c r="E21" s="3"/>
    </row>
    <row r="22" spans="1:5">
      <c r="A22" s="7" t="s">
        <v>212</v>
      </c>
      <c r="B22" s="50">
        <f>DCF_Bazowy!E67</f>
        <v>148.59371526387423</v>
      </c>
    </row>
    <row r="23" spans="1:5">
      <c r="A23" s="7" t="s">
        <v>213</v>
      </c>
      <c r="B23" s="50">
        <f>DCF_Bazowy!E65</f>
        <v>179.63719907484608</v>
      </c>
    </row>
    <row r="24" spans="1:5">
      <c r="A24" s="7" t="s">
        <v>214</v>
      </c>
      <c r="B24" s="50">
        <f>DCF_Bazowy!E66</f>
        <v>162.69812309267255</v>
      </c>
    </row>
    <row r="26" spans="1:5">
      <c r="A26" s="3" t="s">
        <v>215</v>
      </c>
      <c r="B26" s="3"/>
      <c r="C26" s="3"/>
      <c r="D26" s="3"/>
      <c r="E26" s="3"/>
    </row>
    <row r="27" spans="1:5">
      <c r="A27" s="7" t="s">
        <v>216</v>
      </c>
      <c r="B27" s="68">
        <f>ROUND(B22,0)</f>
        <v>149.0</v>
      </c>
    </row>
    <row r="28" spans="1:5">
      <c r="A28" s="7" t="s">
        <v>217</v>
      </c>
      <c r="B28" s="68">
        <f>ROUND(B23,0)</f>
        <v>180.0</v>
      </c>
    </row>
    <row r="29" spans="1:5">
      <c r="A29" s="7" t="s">
        <v>218</v>
      </c>
      <c r="B29" s="68">
        <f>ROUND(B24,0)</f>
        <v>163.0</v>
      </c>
    </row>
    <row r="30" spans="1:5">
      <c r="A30" s="7" t="s">
        <v>219</v>
      </c>
      <c r="B30" s="69">
        <f>B19</f>
        <v>137.87</v>
      </c>
    </row>
    <row r="32" spans="1:5">
      <c r="A32" s="3" t="s">
        <v>220</v>
      </c>
      <c r="B32" s="3"/>
      <c r="C32" s="3"/>
      <c r="D32" s="3"/>
      <c r="E32" s="3"/>
    </row>
    <row r="33" spans="1:5">
      <c r="A33" s="35" t="s">
        <v>221</v>
      </c>
      <c r="B33" s="35" t="s">
        <v>222</v>
      </c>
      <c r="C33" s="35" t="s">
        <v>223</v>
      </c>
    </row>
    <row r="34" spans="1:5">
      <c r="A34" s="7" t="s">
        <v>197</v>
      </c>
      <c r="B34" s="27" t="str">
        <f>ROUND(B12,0)&amp;" USD"</f>
        <v>89 USD</v>
      </c>
      <c r="C34" s="7" t="str">
        <f>"Marża EBITDA (rok 10) "&amp;SUBSTITUTE(ROUND(B9*100,1)&amp;"%",".",",")&amp;", WACC "&amp;SUBSTITUTE(ROUND(B7*100,1)&amp;"%",".",",")&amp;", wzrost "&amp;SUBSTITUTE(ROUND(B8*100,1)&amp;"%",".",",")</f>
        <v>Marża EBITDA (rok 10) 35,5%, WACC 10,5%, wzrost 3,5%</v>
      </c>
    </row>
    <row r="35" spans="1:5">
      <c r="A35" s="7" t="s">
        <v>198</v>
      </c>
      <c r="B35" s="27" t="str">
        <f>ROUND(C12,0)&amp;" USD"</f>
        <v>163 USD</v>
      </c>
      <c r="C35" s="7" t="str">
        <f>"Marża EBITDA (rok 10) "&amp;SUBSTITUTE(ROUND(C9*100,1)&amp;"%",".",",")&amp;", WACC "&amp;SUBSTITUTE(ROUND(C7*100,1)&amp;"%",".",",")&amp;", wzrost "&amp;SUBSTITUTE(ROUND(C8*100,1)&amp;"%",".",",")</f>
        <v>Marża EBITDA (rok 10) 40%, WACC 9,5%, wzrost 4%</v>
      </c>
    </row>
    <row r="36" spans="1:5">
      <c r="A36" s="7" t="s">
        <v>199</v>
      </c>
      <c r="B36" s="27" t="str">
        <f>ROUND(D12,0)&amp;" USD"</f>
        <v>233 USD</v>
      </c>
      <c r="C36" s="7" t="str">
        <f>"Marża EBITDA (rok 10) "&amp;SUBSTITUTE(ROUND(D9*100,1)&amp;"%",".",",")&amp;", WACC "&amp;SUBSTITUTE(ROUND(D7*100,1)&amp;"%",".",",")&amp;", wzrost "&amp;SUBSTITUTE(ROUND(D8*100,1)&amp;"%",".",",")</f>
        <v>Marża EBITDA (rok 10) 42,5%, WACC 9%, wzrost 4,5%</v>
      </c>
    </row>
    <row r="38" spans="1:5">
      <c r="A38" s="3" t="s">
        <v>224</v>
      </c>
      <c r="B38" s="3"/>
      <c r="C38" s="3"/>
      <c r="D38" s="3"/>
      <c r="E38" s="3"/>
    </row>
    <row r="39" spans="1:5">
      <c r="A39" s="5" t="s">
        <v>225</v>
      </c>
      <c r="B39" s="70" t="str">
        <f>IF(ABS(Zalozenia!$B$80-1)&lt;0.0001,"OK","SPRAWDŹ")</f>
        <v>OK</v>
      </c>
    </row>
    <row r="40" spans="1:5">
      <c r="A40" s="5" t="s">
        <v>226</v>
      </c>
      <c r="B40" s="70" t="str">
        <f>IF(AND(B7&gt;B8,C7&gt;C8,D7&gt;D8),"OK","SPRAWDŹ")</f>
        <v>OK</v>
      </c>
    </row>
    <row r="41" spans="1:5">
      <c r="A41" s="5" t="s">
        <v>227</v>
      </c>
      <c r="B41" s="70" t="str">
        <f>IF(AND(B14&lt;=Zalozenia!$B$40,C14&lt;=Zalozenia!$B$40,D14&lt;=Zalozenia!$B$40),"OK","SPRAWDŹ")</f>
        <v>OK</v>
      </c>
    </row>
    <row r="42" spans="1:5">
      <c r="A42" s="5" t="s">
        <v>228</v>
      </c>
      <c r="B42" s="70" t="str">
        <f>IF(AND(B12&lt;=C12,C12&lt;=D12),"OK","SPRAWDŹ")</f>
        <v>OK</v>
      </c>
    </row>
    <row r="43" spans="1:5">
      <c r="A43" s="5" t="s">
        <v>229</v>
      </c>
      <c r="B43" s="70" t="str">
        <f>IF(AND(ABS(DCF_Pesymistyczny!E66-DCF_Pesymistyczny!$C$55)&lt;0.001,ABS(DCF_Bazowy!E66-DCF_Bazowy!$C$55)&lt;0.001,ABS(DCF_Optymistyczny!E66-DCF_Optymistyczny!$C$55)&lt;0.001),"OK","SPRAWDŹ")</f>
        <v>OK</v>
      </c>
    </row>
    <row r="44" spans="1:5">
      <c r="A44" s="5" t="s">
        <v>230</v>
      </c>
      <c r="B44" s="70" t="str">
        <f>IF(AND(ABS(DCF_Pesymistyczny!E74-DCF_Pesymistyczny!$C$55)&lt;0.001,ABS(DCF_Bazowy!E74-DCF_Bazowy!$C$55)&lt;0.001,ABS(DCF_Optymistyczny!E74-DCF_Optymistyczny!$C$55)&lt;0.001),"OK","SPRAWDŹ")</f>
        <v>OK</v>
      </c>
    </row>
    <row r="45" spans="1:5">
      <c r="A45" s="5" t="s">
        <v>231</v>
      </c>
      <c r="B45" s="70" t="str">
        <f>IF(AND(MIN(DCF_Pesymistyczny!$F$11:$P$11)&gt;0,MIN(DCF_Bazowy!$F$11:$P$11)&gt;0,MIN(DCF_Optymistyczny!$F$11:$P$11)&gt;0),"OK","SPRAWDŹ")</f>
        <v>OK</v>
      </c>
    </row>
    <row r="46" spans="1:5">
      <c r="A46" s="5" t="s">
        <v>232</v>
      </c>
      <c r="B46" s="70" t="str">
        <f>IF(AND(Zalozenia!$B$8&gt;=DATE(Zalozenia!$B$11,1,1),Zalozenia!$B$8&lt;=DATE(Zalozenia!$B$11,12,31)),"OK","SPRAWDŹ")</f>
        <v>OK</v>
      </c>
    </row>
    <row r="47" spans="1:5">
      <c r="A47" s="5" t="s">
        <v>233</v>
      </c>
      <c r="B47" s="70" t="str">
        <f>IF(Zalozenia!$B$11=Historia!$D$3+1,"OK","SPRAWDŹ")</f>
        <v>OK</v>
      </c>
    </row>
    <row r="48" spans="1:5">
      <c r="A48" s="5" t="s">
        <v>234</v>
      </c>
      <c r="B48" s="70" t="str">
        <f>IF(IF(ISNUMBER(C16),C16&gt;=C7,TRUE),"OK","SPRAWDŹ")</f>
        <v>OK</v>
      </c>
    </row>
    <row r="49" spans="1:2">
      <c r="A49" s="5" t="s">
        <v>235</v>
      </c>
      <c r="B49" s="70" t="str">
        <f>IF(IF(ISNUMBER(C17),C17&gt;=C7,TRUE),"OK","SPRAWDŹ")</f>
        <v>OK</v>
      </c>
    </row>
    <row r="50" spans="1:2">
      <c r="A50" s="5" t="s">
        <v>236</v>
      </c>
      <c r="B50" s="70" t="str">
        <f>IF(ABS(DCF_Bazowy!$C$40/DCF_Bazowy!$C$41-1)&lt;=0.3,"OK","SPRAWDŹ")</f>
        <v>OK</v>
      </c>
    </row>
    <row r="51" spans="1:2">
      <c r="A51" s="24" t="s">
        <v>237</v>
      </c>
      <c r="B51" s="71" t="str">
        <f>IF(COUNTIF(B39:B50,"OK")=12,"WSZYSTKO OK","SPRAWDŹ KONTROLE")</f>
        <v>WSZYSTKO OK</v>
      </c>
    </row>
  </sheetData>
  <conditionalFormatting sqref="B39:B51">
    <cfRule type="beginsWith" dxfId="0" priority="1" operator="beginsWith" text="OK">
      <formula>LEFT(B39,2)="OK"</formula>
    </cfRule>
    <cfRule type="beginsWith" dxfId="0" priority="2" operator="beginsWith" text="WSZYSTKO">
      <formula>LEFT(B39,8)="WSZYSTKO"</formula>
    </cfRule>
    <cfRule type="beginsWith" dxfId="1" priority="3" operator="beginsWith" text="SPRAWDŹ">
      <formula>LEFT(B39,7)="SPRAWDŹ"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Instrukcja</vt:lpstr>
      <vt:lpstr>Zalozenia</vt:lpstr>
      <vt:lpstr>Historia</vt:lpstr>
      <vt:lpstr>DCF_Pesymistyczny</vt:lpstr>
      <vt:lpstr>DCF_Bazowy</vt:lpstr>
      <vt:lpstr>DCF_Optymistyczny</vt:lpstr>
      <vt:lpstr>Wynik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 DCF: NOW</dc:title>
  <dc:subject>Wycena metodą zdyskontowanych przepływów pieniężnych</dc:subject>
  <dc:creator>Kawiarnia Rynkowa</dc:creator>
  <dc:description>Wynik modelu nie jest rekomendacją inwestycyjną.</dc:description>
  <cp:lastModifiedBy>Kawiarnia Rynkowa</cp:lastModifiedBy>
  <dcterms:created xsi:type="dcterms:W3CDTF">2026-10-08T06:27:16Z</dcterms:created>
  <dcterms:modified xsi:type="dcterms:W3CDTF">2026-10-08T06:27:16Z</dcterms:modified>
</cp:coreProperties>
</file>