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charts/chart1.xml" ContentType="application/vnd.openxmlformats-officedocument.drawingml.char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strukcja" sheetId="1" r:id="rId1"/>
    <sheet name="Zalozenia" sheetId="2" r:id="rId2"/>
    <sheet name="Historia" sheetId="3" r:id="rId3"/>
    <sheet name="DCF_Pesymistyczny" sheetId="4" r:id="rId4"/>
    <sheet name="DCF_Bazowy" sheetId="5" r:id="rId5"/>
    <sheet name="DCF_Optymistyczny" sheetId="6" r:id="rId6"/>
    <sheet name="Wynik" sheetId="7" r:id="rId7"/>
  </sheets>
  <calcPr calcId="124519" fullCalcOnLoad="1"/>
</workbook>
</file>

<file path=xl/sharedStrings.xml><?xml version="1.0" encoding="utf-8"?>
<sst xmlns="http://schemas.openxmlformats.org/spreadsheetml/2006/main" count="545" uniqueCount="237">
  <si>
    <t>Model DCF — instrukcja skrócona</t>
  </si>
  <si>
    <t>Dane w pliku są przykładowe (fikcyjna Spółka Przykładowa S.A.).</t>
  </si>
  <si>
    <t>Legenda kolorów</t>
  </si>
  <si>
    <t>Niebieski tekst na żółtym tle: dane wejściowe — to jedyne komórki, które zmieniasz.</t>
  </si>
  <si>
    <t>Czarny tekst: formuły. Szare tło: lata 6–10 liczone automatycznie (wygaszanie). Nie nadpisuj ich wartościami.</t>
  </si>
  <si>
    <t>Zielony tekst: odwołania do innych arkuszy.</t>
  </si>
  <si>
    <t>Jak działa model</t>
  </si>
  <si>
    <t>1. Lata 6–10: wzrost przychodów schodzi liniowo do g, marża EBITDA do marży docelowej scenariusza, amortyzacja do poziomu stanu ustalonego, capex do (capex/amortyzacja) × amortyzacja, podatek do stawki ustawowej.</t>
  </si>
  <si>
    <t>2. Amortyzacja, stawka podatku (gotówkowa) i inne reinwestycje są wpisywane rok po roku (sekcja 5 Zalozenia).</t>
  </si>
  <si>
    <t>3. Kapitał obrotowy może być ujemny (np. handel z ujemnym cyklem gotówkowym).</t>
  </si>
  <si>
    <t>4. Odwrócony DCF: arkusz Wynik pokazuje WACC, przy którym wartość = kurs. To miara oczekiwań rynku, nie cel.</t>
  </si>
  <si>
    <t>5. Kontrole spójności: RONIC w wartości końcowej (czy wzrost tworzy wartość) i przyrostowy ROIC w prognozie (czy capex „kupuje” prognozowany wzrost).</t>
  </si>
  <si>
    <t>Jak pracować z modelem</t>
  </si>
  <si>
    <t>1. Historia: 3 ostatnie lata sprawozdań. 2. Zalozenia → sekcje 1–4. 3. Sekcja 5: capex, amortyzacja, podatek gotówkowy, inne reinwestycje na lata 1–5. 4. Sekcja 6: scenariusze (lata 1–5, marża docelowa, korekta WACC, g, waga). 5. Wynik: kontrole, odwrócony DCF, liczby do panelu.</t>
  </si>
  <si>
    <t>Ważne</t>
  </si>
  <si>
    <t>Wynik modelu nie jest rekomendacją inwestycyjną. Model nie nadaje się do banków i ubezpieczycieli.</t>
  </si>
  <si>
    <t>Kwoty w mln zł, wartość na akcję w zł. Pierwszy rok prognozy to rok po ostatnim roku historii.</t>
  </si>
  <si>
    <t>Założenia modelu DCF</t>
  </si>
  <si>
    <t>Zmieniasz tylko komórki niebieskie na żółtym tle. Kwoty w mln zł. Kolumny H–L (szare) liczą się same.</t>
  </si>
  <si>
    <t>1. Dane spółki</t>
  </si>
  <si>
    <t>Nazwa spółki</t>
  </si>
  <si>
    <t>Spółka Przykładowa S.A.</t>
  </si>
  <si>
    <t>Ticker</t>
  </si>
  <si>
    <t>SPRZ</t>
  </si>
  <si>
    <t>Jednostka kwot</t>
  </si>
  <si>
    <t>mln zł</t>
  </si>
  <si>
    <t>Tylko opis; model nie przelicza walut.</t>
  </si>
  <si>
    <t>Data wyceny</t>
  </si>
  <si>
    <t>Musi wypadać w pierwszym roku prognozy.</t>
  </si>
  <si>
    <t>Kurs akcji (zł)</t>
  </si>
  <si>
    <t>Kurs z dnia wyceny (lub ostatnie zamknięcie).</t>
  </si>
  <si>
    <t>Liczba akcji rozwodniona (mln)</t>
  </si>
  <si>
    <t>Pierwszy rok prognozy</t>
  </si>
  <si>
    <t>Rok po ostatnim roku z arkusza Historia.</t>
  </si>
  <si>
    <t>Stawka podatku ustawowa (CIT)</t>
  </si>
  <si>
    <t>Używana w roku końcowym i jako cel wygaszania stawki gotówkowej w latach 6–10.</t>
  </si>
  <si>
    <t>2. Koszt kapitału (WACC)</t>
  </si>
  <si>
    <t>Stopa wolna od ryzyka</t>
  </si>
  <si>
    <t>Rentowność 10-letnich obligacji skarbowych z dnia wyceny.</t>
  </si>
  <si>
    <t>Premia za ryzyko rynku (ERP)</t>
  </si>
  <si>
    <t>Najlepiej implikowana ERP z bieżących cen (np. Damodaran, aktualizacja miesięczna), spójna z bieżącym Rf.</t>
  </si>
  <si>
    <t>Beta</t>
  </si>
  <si>
    <t>Najlepiej bottom-up (bety branżowe nielewarowane, ważone segmentami, zlewarowane D/E spółki) albo skorygowana Blume'a; surowa beta z regresji bywa zniekształcona.</t>
  </si>
  <si>
    <t>Premia za wielkość i płynność</t>
  </si>
  <si>
    <t>0 dla dużych, płynnych spółek.</t>
  </si>
  <si>
    <t>Koszt kapitału własnego</t>
  </si>
  <si>
    <t>Rf + beta × ERP + premia</t>
  </si>
  <si>
    <t>Kontrola: oczekiwany zwrot z rynku (Rf + ERP)</t>
  </si>
  <si>
    <t>Porównaj z implikowanym oczekiwanym zwrotem z indeksu; dużo wyższy oznacza zbyt wysoką ERP przy danym Rf.</t>
  </si>
  <si>
    <t>Koszt długu przed podatkiem</t>
  </si>
  <si>
    <t>Koszt długu po podatku</t>
  </si>
  <si>
    <t>Udział długu w kapitale, D/(D+E)</t>
  </si>
  <si>
    <t>Wartości rynkowe, struktura docelowa.</t>
  </si>
  <si>
    <t>WACC bazowy</t>
  </si>
  <si>
    <t>Scenariusze dodają własną korektę (sekcja 6).</t>
  </si>
  <si>
    <t>3. Od wartości przedsiębiorstwa (EV) do kapitału własnego</t>
  </si>
  <si>
    <t>Dług netto wg ostatniego bilansu</t>
  </si>
  <si>
    <t>Dług odsetkowy minus gotówka i papiery.</t>
  </si>
  <si>
    <t>Zobowiązania leasingowe poza długiem netto</t>
  </si>
  <si>
    <t>Odejmuj, gdy EBITDA jest przed kosztem leasingu (amortyzacja aktywów z leasingu w D&amp;A).</t>
  </si>
  <si>
    <t>Rezerwy i zobowiązania o charakterze dłużnym</t>
  </si>
  <si>
    <t>Np. emerytalne; podatek odroczony od niezrealizowanych zysków na aktywach nieoperacyjnych.</t>
  </si>
  <si>
    <t>Udziały mniejszości</t>
  </si>
  <si>
    <t>Aktywa finansowe nieoperacyjne</t>
  </si>
  <si>
    <t>Dodawane do wartości.</t>
  </si>
  <si>
    <t>Korekty razem (odejmowane od EV)</t>
  </si>
  <si>
    <t>4. Parametry wspólne dla scenariuszy</t>
  </si>
  <si>
    <t>Kapitał obrotowy netto (% przyrostu przychodów)</t>
  </si>
  <si>
    <t>Może być ujemny: wtedy wzrost przychodów uwalnia gotówkę. Punkt odniesienia: Historia.</t>
  </si>
  <si>
    <t>Capex / amortyzacja w stanie ustalonym</t>
  </si>
  <si>
    <t>Rok końcowy: capex = amortyzacja × ten mnożnik (zwykle 1,0–1,2). Cel wygaszania capexu w latach 6–10.</t>
  </si>
  <si>
    <t>Amortyzacja w stanie ustalonym (% przychodów)</t>
  </si>
  <si>
    <t>Cel wygaszania amortyzacji w latach 6–10 i poziom w roku końcowym. Bez amortyzacji wartości niematerialnych z przejęć: tej capex nie odtwarza (patrz Historia: capex / amortyzacja).</t>
  </si>
  <si>
    <t>Dyskontowanie w połowie roku (1 = tak, 0 = nie)</t>
  </si>
  <si>
    <t>Mnożnik EV/EBITDA do kontroli wartości końcowej</t>
  </si>
  <si>
    <t>Mnożnik dla dojrzałej spółki; rynkowe mnożniki dzisiaj zawierają oczekiwany wzrost, więc zwykle są wyższe.</t>
  </si>
  <si>
    <t>Próg udziału wartości końcowej w EV</t>
  </si>
  <si>
    <t>Krok WACC w tabelach wrażliwości</t>
  </si>
  <si>
    <t>Krok g w tabelach wrażliwości</t>
  </si>
  <si>
    <t>Krok marży EBITDA w tabelach wrażliwości</t>
  </si>
  <si>
    <t>5. Założenia roczne wspólne dla scenariuszy</t>
  </si>
  <si>
    <t>Rok</t>
  </si>
  <si>
    <t>Lata 1–5: dane wejściowe. Lata 6–10: wygaszanie liniowe do stanu ustalonego.</t>
  </si>
  <si>
    <t>Amortyzacja (% przychodów)</t>
  </si>
  <si>
    <t>Amortyzacja majątku odtwarzanego capexem (lub wierszem 'inne reinwestycje'), bez amortyzacji wartości niematerialnych z przejęć. Przy dużym capexie rośnie z opóźnieniem.</t>
  </si>
  <si>
    <t>Capex (% przychodów)</t>
  </si>
  <si>
    <t>Wydatki na rzeczowe aktywa trwałe i wartości niematerialne (gotówkowo, netto).</t>
  </si>
  <si>
    <t>Inne reinwestycje poza capexem (% przychodów)</t>
  </si>
  <si>
    <t>Np. treści (wideo) i nowe leasingi, jeśli ich amortyzacja jest w D&amp;A. W roku końcowym zawarte w capex = k × D&amp;A.</t>
  </si>
  <si>
    <t>Stawka podatku gotówkowego</t>
  </si>
  <si>
    <t>Faktycznie płacony podatek / EBIT (np. przy natychmiastowej amortyzacji podatkowej niższy od ustawowego).</t>
  </si>
  <si>
    <t>6. Scenariusze</t>
  </si>
  <si>
    <t>Scenariusz pesymistyczny</t>
  </si>
  <si>
    <t>Wzrost przychodów</t>
  </si>
  <si>
    <t>Marża EBITDA</t>
  </si>
  <si>
    <t>Lata 6–10: liniowo do g.</t>
  </si>
  <si>
    <t>Marża EBITDA docelowa (rok 10 i rok końcowy)</t>
  </si>
  <si>
    <t>Domyślnie równa marży z roku 5. Wyżej tylko z nazwanego powodu (np. zmiana miksu).</t>
  </si>
  <si>
    <t>Korekta WACC względem bazowego (pp)</t>
  </si>
  <si>
    <t>Wzrost długoterminowy g</t>
  </si>
  <si>
    <t>Nie wyżej niż stopa wolna od ryzyka i długoterminowy nominalny wzrost PKB.</t>
  </si>
  <si>
    <t>Waga scenariusza (do średniej ważonej)</t>
  </si>
  <si>
    <t>Scenariusz bazowy</t>
  </si>
  <si>
    <t>Scenariusz optymistyczny</t>
  </si>
  <si>
    <t>Suma wag scenariuszy (musi wynosić 100%)</t>
  </si>
  <si>
    <t>Dane historyczne</t>
  </si>
  <si>
    <t>Sprawozdania z 3 ostatnich lat (mln zł).</t>
  </si>
  <si>
    <t>Uwagi</t>
  </si>
  <si>
    <t>Przychody</t>
  </si>
  <si>
    <t>Przychody ze sprzedaży.</t>
  </si>
  <si>
    <t>EBITDA</t>
  </si>
  <si>
    <t>Zysk operacyjny powiększony o amortyzację.</t>
  </si>
  <si>
    <t>Amortyzacja</t>
  </si>
  <si>
    <t>Punkt odniesienia dla sekcji 5 w Zalozenia.</t>
  </si>
  <si>
    <t>EBIT</t>
  </si>
  <si>
    <t>Zysk netto</t>
  </si>
  <si>
    <t>Capex</t>
  </si>
  <si>
    <t>Wydatki na rzeczowe aktywa trwałe i wartości niematerialne.</t>
  </si>
  <si>
    <t>Punkt odniesienia dla capexu w Zalozenia.</t>
  </si>
  <si>
    <t>Capex / amortyzacja</t>
  </si>
  <si>
    <t>Poniżej 1,0 w rosnącej firmie zwykle znaczy, że amortyzacja zawiera wartości niematerialne z przejęć; w Zalozenia wpisz amortyzację bez nich.</t>
  </si>
  <si>
    <t>Wolne przepływy (FCF) wg sprawozdań</t>
  </si>
  <si>
    <t>Informacyjnie; model liczy FCFF od zera.</t>
  </si>
  <si>
    <t>Dług netto / EBITDA</t>
  </si>
  <si>
    <t>Kapitał obrotowy netto (operacyjny)</t>
  </si>
  <si>
    <t>Zapasy + należności − zobowiązania handlowe i bieżące operacyjne (bez gotówki i długu).</t>
  </si>
  <si>
    <t>Kapitał obrotowy (% przychodów)</t>
  </si>
  <si>
    <t>Punkt odniesienia dla parametru w Zalozenia (sekcja 4).</t>
  </si>
  <si>
    <t>n/d</t>
  </si>
  <si>
    <t>DCF — scenariusz pesymistyczny</t>
  </si>
  <si>
    <t>Rachunek wyników i przepływów</t>
  </si>
  <si>
    <t>Rok końcowy</t>
  </si>
  <si>
    <t>Historia</t>
  </si>
  <si>
    <t>Prognoza szczegółowa</t>
  </si>
  <si>
    <t>Wygaszanie do stanu ustalonego</t>
  </si>
  <si>
    <t>Normalizacja</t>
  </si>
  <si>
    <t>%</t>
  </si>
  <si>
    <t>Podatek od EBIT</t>
  </si>
  <si>
    <t>NOPAT (EBIT po podatku)</t>
  </si>
  <si>
    <t>Plus: amortyzacja</t>
  </si>
  <si>
    <t>Minus: capex</t>
  </si>
  <si>
    <t>Minus: inne reinwestycje poza capexem</t>
  </si>
  <si>
    <t>Minus: przyrost kapitału obrotowego</t>
  </si>
  <si>
    <t>FCFF (wolne przepływy dla firmy)</t>
  </si>
  <si>
    <t>FCFF jako % przychodów</t>
  </si>
  <si>
    <t>Parametry dyskontowania</t>
  </si>
  <si>
    <t>Korekta WACC w scenariuszu</t>
  </si>
  <si>
    <t>pp</t>
  </si>
  <si>
    <t>WACC w scenariuszu</t>
  </si>
  <si>
    <t>Udział roku w wycenie (rok 1 = od daty wyceny do końca roku)</t>
  </si>
  <si>
    <t>Okres dyskontowania t</t>
  </si>
  <si>
    <t>lata</t>
  </si>
  <si>
    <t>Współczynnik dyskonta</t>
  </si>
  <si>
    <t>FCFF przypadający na okres wyceny</t>
  </si>
  <si>
    <t>Wartość bieżąca FCFF (PV)</t>
  </si>
  <si>
    <t>Wartość końcowa (metoda Gordona) i kontrole spójności</t>
  </si>
  <si>
    <t>FCFF roku końcowego (znormalizowany)</t>
  </si>
  <si>
    <t>FCFF roku końcowego przed zmianą kapitału obrotowego, na jednostkę przychodów</t>
  </si>
  <si>
    <t>Wartość końcowa na koniec prognozy</t>
  </si>
  <si>
    <t>Współczynnik dyskonta wartości końcowej</t>
  </si>
  <si>
    <t>Wartość bieżąca wartości końcowej</t>
  </si>
  <si>
    <t>Implikowany mnożnik EV/EBITDA wartości końcowej</t>
  </si>
  <si>
    <t>x</t>
  </si>
  <si>
    <t>Mnożnik kontrolny (z Zalozenia)</t>
  </si>
  <si>
    <t>Wartość bieżąca wartości końcowej wg mnożnika kontrolnego</t>
  </si>
  <si>
    <t>RONIC w roku końcowym: g × NOPAT / reinwestycje netto</t>
  </si>
  <si>
    <t>Przyrostowy ROIC w prognozie: ΔEBIT×(1−CIT) lata 1→10 / reinwestycje netto lat 1–9</t>
  </si>
  <si>
    <t>Udział lat 6–10 (PV FCFF) w EV</t>
  </si>
  <si>
    <t>Od wartości przedsiębiorstwa do wartości na akcję</t>
  </si>
  <si>
    <t>Suma PV FCFF (lata 1–10)</t>
  </si>
  <si>
    <t>PV wartości końcowej</t>
  </si>
  <si>
    <t>Wartość przedsiębiorstwa (EV)</t>
  </si>
  <si>
    <t>Udział wartości końcowej w EV</t>
  </si>
  <si>
    <t>Minus: korekty razem (dług netto, leasing, rezerwy, mniejszość, plus aktywa fin.)</t>
  </si>
  <si>
    <t>Wartość kapitału własnego</t>
  </si>
  <si>
    <t>Liczba akcji rozwodniona</t>
  </si>
  <si>
    <t>mln</t>
  </si>
  <si>
    <t>Wartość godziwa na akcję</t>
  </si>
  <si>
    <t>zł</t>
  </si>
  <si>
    <t>Kurs akcji</t>
  </si>
  <si>
    <t>Potencjał do wartości godziwej względem kursu</t>
  </si>
  <si>
    <t>Implikowany EV / EBITDA pierwszego roku prognozy</t>
  </si>
  <si>
    <t>Kontrola: wartość na akcję przy wartości końcowej wg mnożnika</t>
  </si>
  <si>
    <t>Odwrócony DCF: WACC, przy którym wartość = kurs</t>
  </si>
  <si>
    <t>Wrażliwość A: wartość na akcję (zł) — WACC (wiersze) × wzrost długoterminowy g (kolumny)</t>
  </si>
  <si>
    <t>WACC ↓      g →</t>
  </si>
  <si>
    <t>Wrażliwość B: wartość na akcję (zł) — WACC (wiersze) × zmiana marży EBITDA we wszystkich latach</t>
  </si>
  <si>
    <t>WACC ↓      zmiana marży (pp) →</t>
  </si>
  <si>
    <t>Odwrócony DCF: wartość na akcję przy różnych WACC (bazowe g i założenia scenariusza)</t>
  </si>
  <si>
    <t>WACC</t>
  </si>
  <si>
    <t>Wartość na akcję</t>
  </si>
  <si>
    <t>Tabele i siatka liczone zwykłymi formułami (bez tabel danych Excela). Pogrubiony środek tabel = wartość na akcję.</t>
  </si>
  <si>
    <t>DCF — scenariusz bazowy</t>
  </si>
  <si>
    <t>DCF — scenariusz optymistyczny</t>
  </si>
  <si>
    <t>Wynik wyceny DCF</t>
  </si>
  <si>
    <t>Scenariusze</t>
  </si>
  <si>
    <t>Pesymistyczny</t>
  </si>
  <si>
    <t>Bazowy</t>
  </si>
  <si>
    <t>Optymistyczny</t>
  </si>
  <si>
    <t>Średnia ważona</t>
  </si>
  <si>
    <t>Waga scenariusza</t>
  </si>
  <si>
    <t>Marża EBITDA w roku 10</t>
  </si>
  <si>
    <t>Wartość przedsiębiorstwa (EV), mln zł</t>
  </si>
  <si>
    <t>Wartość kapitału własnego, mln zł</t>
  </si>
  <si>
    <t>Wartość godziwa na akcję, zł</t>
  </si>
  <si>
    <t>Implikowany EV/EBITDA wartości końcowej</t>
  </si>
  <si>
    <t>RONIC w roku końcowym</t>
  </si>
  <si>
    <t>Przyrostowy ROIC w prognozie</t>
  </si>
  <si>
    <t>Odwrócony DCF: WACC implikowany kursem</t>
  </si>
  <si>
    <t>Kurs akcji, zł</t>
  </si>
  <si>
    <t>Przedział wartości godziwej (scenariusz bazowy)</t>
  </si>
  <si>
    <t>Dolny koniec: WACC + krok, bazowe g</t>
  </si>
  <si>
    <t>Górny koniec: WACC − krok, bazowe g</t>
  </si>
  <si>
    <t>Wartość bazowa</t>
  </si>
  <si>
    <t>Do wpisania w panelu Keystatic (Wycena)</t>
  </si>
  <si>
    <t>Wartość od (zł)</t>
  </si>
  <si>
    <t>Wartość do (zł)</t>
  </si>
  <si>
    <t>Wartość bazowa (zł)</t>
  </si>
  <si>
    <t>Kurs w dniu publikacji (zł)</t>
  </si>
  <si>
    <t>Do komponentu „Scenariusze wyceny” w treści analizy</t>
  </si>
  <si>
    <t>Scenariusz</t>
  </si>
  <si>
    <t>Wartość</t>
  </si>
  <si>
    <t>Założenia</t>
  </si>
  <si>
    <t>Kontrole poprawności</t>
  </si>
  <si>
    <t>Wagi scenariuszy sumują się do 100%</t>
  </si>
  <si>
    <t>WACC jest wyższy niż g w każdym scenariuszu</t>
  </si>
  <si>
    <t>Udział wartości końcowej w EV nie przekracza progu</t>
  </si>
  <si>
    <t>Kolejność scenariuszy: pesymistyczny ≤ bazowy ≤ optymistyczny</t>
  </si>
  <si>
    <t>Środek tabeli wrażliwości A = wartość na akcję (każdy scenariusz)</t>
  </si>
  <si>
    <t>Środek tabeli wrażliwości B = wartość na akcję (każdy scenariusz)</t>
  </si>
  <si>
    <t>EBIT dodatni we wszystkich latach prognozy</t>
  </si>
  <si>
    <t>Data wyceny mieści się w pierwszym roku prognozy</t>
  </si>
  <si>
    <t>Pierwszy rok prognozy następuje po ostatnim roku historii</t>
  </si>
  <si>
    <t>RONIC w roku końcowym ≥ WACC (wzrost po prognozie tworzy wartość; scenariusz bazowy)</t>
  </si>
  <si>
    <t>Przyrostowy ROIC w prognozie ≥ WACC (capex „kupuje” prognozowany wzrost; scenariusz bazowy)</t>
  </si>
  <si>
    <t>Wartość końcowa Gordona zbliżona do mnożnika kontrolnego (różnica do 30%, scenariusz bazowy)</t>
  </si>
  <si>
    <t>Stan modelu</t>
  </si>
</sst>
</file>

<file path=xl/styles.xml><?xml version="1.0" encoding="utf-8"?>
<styleSheet xmlns="http://schemas.openxmlformats.org/spreadsheetml/2006/main">
  <numFmts count="10">
    <numFmt numFmtId="164" formatCode="yyyy-mm-dd"/>
    <numFmt numFmtId="165" formatCode="#,##0.00"/>
    <numFmt numFmtId="166" formatCode="0.0%"/>
    <numFmt numFmtId="167" formatCode="0.00%"/>
    <numFmt numFmtId="168" formatCode="#,##0.0"/>
    <numFmt numFmtId="169" formatCode="#,##0"/>
    <numFmt numFmtId="170" formatCode="0.0&quot;x&quot;"/>
    <numFmt numFmtId="171" formatCode="+0.0%;-0.0%;0.0%"/>
    <numFmt numFmtId="172" formatCode="0.000"/>
    <numFmt numFmtId="173" formatCode="0.0000"/>
  </numFmts>
  <fonts count="12">
    <font>
      <sz val="11"/>
      <color theme="1"/>
      <name val="Calibri"/>
      <family val="2"/>
      <scheme val="minor"/>
    </font>
    <font>
      <b/>
      <sz val="16"/>
      <color rgb="FF4B3621"/>
      <name val="Calibri"/>
      <family val="2"/>
      <scheme val="minor"/>
    </font>
    <font>
      <i/>
      <sz val="11"/>
      <color rgb="FF6B6B6B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rgb="FF00703C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703C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703C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EFE6DA"/>
        <bgColor indexed="64"/>
      </patternFill>
    </fill>
    <fill>
      <patternFill patternType="solid">
        <fgColor rgb="FFFFF8DC"/>
        <bgColor indexed="64"/>
      </patternFill>
    </fill>
    <fill>
      <patternFill patternType="solid">
        <fgColor rgb="FF4B3621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E6F2E6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rgb="FFD9C9A3"/>
      </left>
      <right style="thin">
        <color rgb="FFD9C9A3"/>
      </right>
      <top style="thin">
        <color rgb="FFD9C9A3"/>
      </top>
      <bottom style="thin">
        <color rgb="FFD9C9A3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top" wrapText="1"/>
    </xf>
    <xf numFmtId="0" fontId="3" fillId="2" borderId="1" xfId="0" applyFont="1" applyFill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0" fillId="0" borderId="0" xfId="0" applyAlignment="1">
      <alignment vertical="top" wrapText="1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164" fontId="4" fillId="3" borderId="2" xfId="0" applyNumberFormat="1" applyFont="1" applyFill="1" applyBorder="1" applyAlignment="1">
      <alignment vertical="center"/>
    </xf>
    <xf numFmtId="165" fontId="4" fillId="3" borderId="2" xfId="0" applyNumberFormat="1" applyFont="1" applyFill="1" applyBorder="1" applyAlignment="1">
      <alignment vertical="center"/>
    </xf>
    <xf numFmtId="1" fontId="4" fillId="3" borderId="2" xfId="0" applyNumberFormat="1" applyFont="1" applyFill="1" applyBorder="1" applyAlignment="1">
      <alignment vertical="center"/>
    </xf>
    <xf numFmtId="166" fontId="4" fillId="3" borderId="2" xfId="0" applyNumberFormat="1" applyFont="1" applyFill="1" applyBorder="1" applyAlignment="1">
      <alignment vertical="center"/>
    </xf>
    <xf numFmtId="167" fontId="4" fillId="3" borderId="2" xfId="0" applyNumberFormat="1" applyFont="1" applyFill="1" applyBorder="1" applyAlignment="1">
      <alignment vertical="center"/>
    </xf>
    <xf numFmtId="167" fontId="0" fillId="0" borderId="0" xfId="0" applyNumberFormat="1" applyAlignment="1">
      <alignment vertical="center"/>
    </xf>
    <xf numFmtId="168" fontId="4" fillId="3" borderId="2" xfId="0" applyNumberFormat="1" applyFont="1" applyFill="1" applyBorder="1" applyAlignment="1">
      <alignment vertical="center"/>
    </xf>
    <xf numFmtId="168" fontId="0" fillId="0" borderId="0" xfId="0" applyNumberFormat="1" applyAlignment="1">
      <alignment vertical="center"/>
    </xf>
    <xf numFmtId="169" fontId="4" fillId="3" borderId="2" xfId="0" applyNumberFormat="1" applyFont="1" applyFill="1" applyBorder="1" applyAlignment="1">
      <alignment vertical="center"/>
    </xf>
    <xf numFmtId="170" fontId="4" fillId="3" borderId="2" xfId="0" applyNumberFormat="1" applyFont="1" applyFill="1" applyBorder="1" applyAlignment="1">
      <alignment vertical="center"/>
    </xf>
    <xf numFmtId="0" fontId="6" fillId="4" borderId="0" xfId="0" applyFont="1" applyFill="1" applyAlignment="1">
      <alignment horizontal="center" vertical="center"/>
    </xf>
    <xf numFmtId="1" fontId="6" fillId="4" borderId="0" xfId="0" applyNumberFormat="1" applyFont="1" applyFill="1" applyAlignment="1">
      <alignment horizontal="center" vertical="center"/>
    </xf>
    <xf numFmtId="166" fontId="7" fillId="5" borderId="0" xfId="0" applyNumberFormat="1" applyFont="1" applyFill="1" applyAlignment="1">
      <alignment vertical="center"/>
    </xf>
    <xf numFmtId="0" fontId="6" fillId="4" borderId="0" xfId="0" applyFont="1" applyFill="1" applyAlignment="1">
      <alignment horizontal="left" vertical="center"/>
    </xf>
    <xf numFmtId="1" fontId="3" fillId="0" borderId="0" xfId="0" applyNumberFormat="1" applyFont="1" applyAlignment="1">
      <alignment horizontal="right" vertical="center"/>
    </xf>
    <xf numFmtId="171" fontId="4" fillId="3" borderId="2" xfId="0" applyNumberFormat="1" applyFont="1" applyFill="1" applyBorder="1" applyAlignment="1">
      <alignment vertical="center"/>
    </xf>
    <xf numFmtId="0" fontId="3" fillId="0" borderId="3" xfId="0" applyFont="1" applyBorder="1" applyAlignment="1">
      <alignment vertical="center"/>
    </xf>
    <xf numFmtId="166" fontId="3" fillId="0" borderId="3" xfId="0" applyNumberFormat="1" applyFont="1" applyBorder="1" applyAlignment="1">
      <alignment vertical="center"/>
    </xf>
    <xf numFmtId="168" fontId="4" fillId="3" borderId="2" xfId="0" applyNumberFormat="1" applyFont="1" applyFill="1" applyBorder="1" applyAlignment="1">
      <alignment horizontal="right" vertical="center"/>
    </xf>
    <xf numFmtId="0" fontId="0" fillId="0" borderId="0" xfId="0" applyAlignment="1">
      <alignment horizontal="right" vertical="center"/>
    </xf>
    <xf numFmtId="166" fontId="0" fillId="0" borderId="0" xfId="0" applyNumberFormat="1" applyAlignment="1">
      <alignment horizontal="right" vertical="center"/>
    </xf>
    <xf numFmtId="168" fontId="0" fillId="0" borderId="0" xfId="0" applyNumberFormat="1" applyAlignment="1">
      <alignment horizontal="right" vertical="center"/>
    </xf>
    <xf numFmtId="170" fontId="0" fillId="0" borderId="0" xfId="0" applyNumberFormat="1" applyAlignment="1">
      <alignment horizontal="right" vertical="center"/>
    </xf>
    <xf numFmtId="170" fontId="4" fillId="3" borderId="2" xfId="0" applyNumberFormat="1" applyFont="1" applyFill="1" applyBorder="1" applyAlignment="1">
      <alignment horizontal="right" vertical="center"/>
    </xf>
    <xf numFmtId="166" fontId="5" fillId="0" borderId="0" xfId="0" applyNumberFormat="1" applyFont="1" applyAlignment="1">
      <alignment horizontal="right" vertical="center"/>
    </xf>
    <xf numFmtId="166" fontId="5" fillId="0" borderId="0" xfId="0" applyNumberFormat="1" applyFont="1" applyAlignment="1">
      <alignment vertical="center"/>
    </xf>
    <xf numFmtId="166" fontId="0" fillId="0" borderId="0" xfId="0" applyNumberFormat="1" applyAlignment="1">
      <alignment vertical="center"/>
    </xf>
    <xf numFmtId="0" fontId="3" fillId="0" borderId="0" xfId="0" applyFont="1" applyAlignment="1">
      <alignment vertical="center"/>
    </xf>
    <xf numFmtId="168" fontId="8" fillId="0" borderId="0" xfId="0" applyNumberFormat="1" applyFont="1" applyAlignment="1">
      <alignment horizontal="right" vertical="center"/>
    </xf>
    <xf numFmtId="168" fontId="3" fillId="0" borderId="0" xfId="0" applyNumberFormat="1" applyFont="1" applyAlignment="1">
      <alignment vertical="center"/>
    </xf>
    <xf numFmtId="168" fontId="5" fillId="0" borderId="0" xfId="0" applyNumberFormat="1" applyFont="1" applyAlignment="1">
      <alignment horizontal="right" vertical="center"/>
    </xf>
    <xf numFmtId="168" fontId="3" fillId="0" borderId="3" xfId="0" applyNumberFormat="1" applyFont="1" applyBorder="1" applyAlignment="1">
      <alignment vertical="center"/>
    </xf>
    <xf numFmtId="167" fontId="5" fillId="0" borderId="0" xfId="0" applyNumberFormat="1" applyFont="1" applyAlignment="1">
      <alignment vertical="center"/>
    </xf>
    <xf numFmtId="171" fontId="5" fillId="0" borderId="0" xfId="0" applyNumberFormat="1" applyFont="1" applyAlignment="1">
      <alignment vertical="center"/>
    </xf>
    <xf numFmtId="167" fontId="3" fillId="0" borderId="3" xfId="0" applyNumberFormat="1" applyFont="1" applyBorder="1" applyAlignment="1">
      <alignment vertical="center"/>
    </xf>
    <xf numFmtId="167" fontId="8" fillId="0" borderId="0" xfId="0" applyNumberFormat="1" applyFont="1" applyAlignment="1">
      <alignment vertical="center"/>
    </xf>
    <xf numFmtId="172" fontId="0" fillId="0" borderId="0" xfId="0" applyNumberFormat="1" applyAlignment="1">
      <alignment vertical="center"/>
    </xf>
    <xf numFmtId="173" fontId="0" fillId="0" borderId="0" xfId="0" applyNumberFormat="1" applyAlignment="1">
      <alignment vertical="center"/>
    </xf>
    <xf numFmtId="0" fontId="9" fillId="0" borderId="0" xfId="0" applyFont="1" applyAlignment="1">
      <alignment vertical="center"/>
    </xf>
    <xf numFmtId="170" fontId="0" fillId="0" borderId="0" xfId="0" applyNumberFormat="1" applyAlignment="1">
      <alignment vertical="center"/>
    </xf>
    <xf numFmtId="170" fontId="5" fillId="0" borderId="0" xfId="0" applyNumberFormat="1" applyFont="1" applyAlignment="1">
      <alignment vertical="center"/>
    </xf>
    <xf numFmtId="168" fontId="5" fillId="0" borderId="0" xfId="0" applyNumberFormat="1" applyFont="1" applyAlignment="1">
      <alignment vertical="center"/>
    </xf>
    <xf numFmtId="165" fontId="5" fillId="0" borderId="0" xfId="0" applyNumberFormat="1" applyFont="1" applyAlignment="1">
      <alignment vertical="center"/>
    </xf>
    <xf numFmtId="165" fontId="3" fillId="6" borderId="3" xfId="0" applyNumberFormat="1" applyFont="1" applyFill="1" applyBorder="1" applyAlignment="1">
      <alignment vertical="center"/>
    </xf>
    <xf numFmtId="165" fontId="0" fillId="0" borderId="0" xfId="0" applyNumberFormat="1" applyAlignment="1">
      <alignment vertical="center"/>
    </xf>
    <xf numFmtId="167" fontId="3" fillId="0" borderId="3" xfId="0" applyNumberFormat="1" applyFont="1" applyBorder="1" applyAlignment="1">
      <alignment horizontal="right" vertical="center"/>
    </xf>
    <xf numFmtId="0" fontId="10" fillId="0" borderId="0" xfId="0" applyFont="1" applyAlignment="1">
      <alignment horizontal="right" vertical="center"/>
    </xf>
    <xf numFmtId="167" fontId="6" fillId="4" borderId="0" xfId="0" applyNumberFormat="1" applyFont="1" applyFill="1" applyAlignment="1">
      <alignment horizontal="center" vertical="center"/>
    </xf>
    <xf numFmtId="165" fontId="9" fillId="7" borderId="0" xfId="0" applyNumberFormat="1" applyFont="1" applyFill="1" applyAlignment="1">
      <alignment vertical="center"/>
    </xf>
    <xf numFmtId="165" fontId="3" fillId="6" borderId="0" xfId="0" applyNumberFormat="1" applyFont="1" applyFill="1" applyAlignment="1">
      <alignment vertical="center"/>
    </xf>
    <xf numFmtId="171" fontId="6" fillId="4" borderId="0" xfId="0" applyNumberFormat="1" applyFont="1" applyFill="1" applyAlignment="1">
      <alignment horizontal="center" vertical="center"/>
    </xf>
    <xf numFmtId="167" fontId="0" fillId="0" borderId="0" xfId="0" applyNumberFormat="1" applyAlignment="1">
      <alignment horizontal="left" vertical="center"/>
    </xf>
    <xf numFmtId="164" fontId="5" fillId="0" borderId="0" xfId="0" applyNumberFormat="1" applyFont="1" applyAlignment="1">
      <alignment horizontal="right" vertical="center"/>
    </xf>
    <xf numFmtId="166" fontId="11" fillId="0" borderId="0" xfId="0" applyNumberFormat="1" applyFont="1" applyAlignment="1">
      <alignment horizontal="right" vertical="center"/>
    </xf>
    <xf numFmtId="167" fontId="11" fillId="0" borderId="0" xfId="0" applyNumberFormat="1" applyFont="1" applyAlignment="1">
      <alignment horizontal="right" vertical="center"/>
    </xf>
    <xf numFmtId="168" fontId="11" fillId="0" borderId="0" xfId="0" applyNumberFormat="1" applyFont="1" applyAlignment="1">
      <alignment horizontal="right" vertical="center"/>
    </xf>
    <xf numFmtId="168" fontId="9" fillId="7" borderId="0" xfId="0" applyNumberFormat="1" applyFont="1" applyFill="1" applyAlignment="1">
      <alignment vertical="center"/>
    </xf>
    <xf numFmtId="165" fontId="8" fillId="0" borderId="0" xfId="0" applyNumberFormat="1" applyFont="1" applyAlignment="1">
      <alignment horizontal="right" vertical="center"/>
    </xf>
    <xf numFmtId="170" fontId="11" fillId="0" borderId="0" xfId="0" applyNumberFormat="1" applyFont="1" applyAlignment="1">
      <alignment horizontal="right" vertical="center"/>
    </xf>
    <xf numFmtId="167" fontId="8" fillId="0" borderId="0" xfId="0" applyNumberFormat="1" applyFont="1" applyAlignment="1">
      <alignment horizontal="right" vertical="center"/>
    </xf>
    <xf numFmtId="169" fontId="3" fillId="0" borderId="0" xfId="0" applyNumberFormat="1" applyFont="1" applyAlignment="1">
      <alignment vertical="center"/>
    </xf>
    <xf numFmtId="165" fontId="3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Wartość na akcję wg scenariuszy a kurs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v>Wartość godziwa na akcję (zł)</c:v>
          </c:tx>
          <c:spPr>
            <a:solidFill>
              <a:srgbClr val="4B3621"/>
            </a:solidFill>
          </c:spPr>
          <c:dLbls>
            <c:numFmt formatCode="0.0" sourceLinked="0"/>
            <c:showVal val="1"/>
          </c:dLbls>
          <c:cat>
            <c:strRef>
              <c:f>Wynik!$B$5:$E$5</c:f>
              <c:strCache>
                <c:ptCount val="4"/>
                <c:pt idx="0">
                  <c:v>Pesymistyczny</c:v>
                </c:pt>
                <c:pt idx="1">
                  <c:v>Bazowy</c:v>
                </c:pt>
                <c:pt idx="2">
                  <c:v>Optymistyczny</c:v>
                </c:pt>
                <c:pt idx="3">
                  <c:v>Średnia ważona</c:v>
                </c:pt>
              </c:strCache>
            </c:strRef>
          </c:cat>
          <c:val>
            <c:numRef>
              <c:f>Wynik!$B$12:$E$12</c:f>
              <c:numCache>
                <c:formatCode>General</c:formatCode>
                <c:ptCount val="4"/>
                <c:pt idx="0">
                  <c:v>28.299116883358312</c:v>
                </c:pt>
                <c:pt idx="1">
                  <c:v>63.78930867471958</c:v>
                </c:pt>
                <c:pt idx="2">
                  <c:v>82.45009005597134</c:v>
                </c:pt>
                <c:pt idx="3">
                  <c:v>59.581956072192206</c:v>
                </c:pt>
              </c:numCache>
            </c:numRef>
          </c:val>
        </c:ser>
        <c:axId val="50010001"/>
        <c:axId val="50010002"/>
      </c:barChart>
      <c:lineChart>
        <c:grouping val="standard"/>
        <c:ser>
          <c:idx val="1"/>
          <c:order val="1"/>
          <c:tx>
            <c:v>Kurs akcji (zł)</c:v>
          </c:tx>
          <c:spPr>
            <a:ln w="25400">
              <a:solidFill>
                <a:srgbClr val="C0392B"/>
              </a:solidFill>
              <a:prstDash val="dash"/>
            </a:ln>
          </c:spPr>
          <c:marker>
            <c:symbol val="none"/>
          </c:marker>
          <c:cat>
            <c:strRef>
              <c:f>Wynik!$B$5:$E$5</c:f>
              <c:strCache>
                <c:ptCount val="4"/>
                <c:pt idx="0">
                  <c:v>Pesymistyczny</c:v>
                </c:pt>
                <c:pt idx="1">
                  <c:v>Bazowy</c:v>
                </c:pt>
                <c:pt idx="2">
                  <c:v>Optymistyczny</c:v>
                </c:pt>
                <c:pt idx="3">
                  <c:v>Średnia ważona</c:v>
                </c:pt>
              </c:strCache>
            </c:strRef>
          </c:cat>
          <c:val>
            <c:numRef>
              <c:f>Wynik!$B$19:$E$19</c:f>
              <c:numCache>
                <c:formatCode>General</c:formatCode>
                <c:ptCount val="4"/>
                <c:pt idx="0">
                  <c:v>44</c:v>
                </c:pt>
                <c:pt idx="1">
                  <c:v>44</c:v>
                </c:pt>
                <c:pt idx="2">
                  <c:v>44</c:v>
                </c:pt>
                <c:pt idx="3">
                  <c:v>44</c:v>
                </c:pt>
              </c:numCache>
            </c:numRef>
          </c:val>
        </c:ser>
        <c:marker val="1"/>
        <c:axId val="50010001"/>
        <c:axId val="50010002"/>
      </c:lineChart>
      <c:catAx>
        <c:axId val="50010001"/>
        <c:scaling>
          <c:orientation val="minMax"/>
        </c:scaling>
        <c:axPos val="b"/>
        <c:tickLblPos val="nextTo"/>
        <c:crossAx val="50010002"/>
        <c:crosses val="autoZero"/>
        <c:auto val="1"/>
        <c:lblAlgn val="ctr"/>
        <c:lblOffset val="100"/>
      </c:catAx>
      <c:valAx>
        <c:axId val="50010002"/>
        <c:scaling>
          <c:orientation val="minMax"/>
          <c:min val="0"/>
        </c:scaling>
        <c:axPos val="l"/>
        <c:majorGridlines/>
        <c:numFmt formatCode="0" sourceLinked="0"/>
        <c:tickLblPos val="nextTo"/>
        <c:crossAx val="50010001"/>
        <c:crosses val="autoZero"/>
        <c:crossBetween val="between"/>
      </c:valAx>
    </c:plotArea>
    <c:legend>
      <c:legendPos val="b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4</xdr:row>
      <xdr:rowOff>0</xdr:rowOff>
    </xdr:from>
    <xdr:to>
      <xdr:col>9</xdr:col>
      <xdr:colOff>66675</xdr:colOff>
      <xdr:row>21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B18"/>
  <sheetViews>
    <sheetView showGridLines="0" tabSelected="1" workbookViewId="0"/>
  </sheetViews>
  <sheetFormatPr defaultRowHeight="15"/>
  <cols>
    <col min="1" max="1" width="3.7109375" customWidth="1"/>
    <col min="2" max="2" width="120.7109375" customWidth="1"/>
  </cols>
  <sheetData>
    <row r="1" spans="2:2">
      <c r="B1" s="1" t="s">
        <v>0</v>
      </c>
    </row>
    <row r="2" spans="2:2">
      <c r="B2" s="2" t="s">
        <v>1</v>
      </c>
    </row>
    <row r="4" spans="2:2">
      <c r="B4" s="3" t="s">
        <v>2</v>
      </c>
    </row>
    <row r="5" spans="2:2">
      <c r="B5" s="4" t="s">
        <v>3</v>
      </c>
    </row>
    <row r="6" spans="2:2">
      <c r="B6" s="5" t="s">
        <v>4</v>
      </c>
    </row>
    <row r="7" spans="2:2">
      <c r="B7" s="6" t="s">
        <v>5</v>
      </c>
    </row>
    <row r="8" spans="2:2">
      <c r="B8" s="3" t="s">
        <v>6</v>
      </c>
    </row>
    <row r="9" spans="2:2">
      <c r="B9" s="5" t="s">
        <v>7</v>
      </c>
    </row>
    <row r="10" spans="2:2">
      <c r="B10" s="5" t="s">
        <v>8</v>
      </c>
    </row>
    <row r="11" spans="2:2">
      <c r="B11" s="5" t="s">
        <v>9</v>
      </c>
    </row>
    <row r="12" spans="2:2">
      <c r="B12" s="5" t="s">
        <v>10</v>
      </c>
    </row>
    <row r="13" spans="2:2">
      <c r="B13" s="5" t="s">
        <v>11</v>
      </c>
    </row>
    <row r="14" spans="2:2">
      <c r="B14" s="3" t="s">
        <v>12</v>
      </c>
    </row>
    <row r="15" spans="2:2">
      <c r="B15" s="5" t="s">
        <v>13</v>
      </c>
    </row>
    <row r="16" spans="2:2">
      <c r="B16" s="3" t="s">
        <v>14</v>
      </c>
    </row>
    <row r="17" spans="2:2">
      <c r="B17" s="5" t="s">
        <v>15</v>
      </c>
    </row>
    <row r="18" spans="2:2">
      <c r="B18" s="5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80"/>
  <sheetViews>
    <sheetView showGridLines="0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5"/>
  <cols>
    <col min="1" max="1" width="52.7109375" customWidth="1"/>
    <col min="2" max="2" width="16.7109375" customWidth="1"/>
    <col min="3" max="12" width="10.7109375" customWidth="1"/>
    <col min="13" max="13" width="70.7109375" customWidth="1"/>
  </cols>
  <sheetData>
    <row r="1" spans="1:13">
      <c r="A1" s="1" t="s">
        <v>17</v>
      </c>
    </row>
    <row r="2" spans="1:13">
      <c r="A2" s="2" t="s">
        <v>18</v>
      </c>
    </row>
    <row r="4" spans="1:13">
      <c r="A4" s="3" t="s">
        <v>19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>
      <c r="A5" s="7" t="s">
        <v>20</v>
      </c>
      <c r="B5" s="4" t="s">
        <v>21</v>
      </c>
    </row>
    <row r="6" spans="1:13">
      <c r="A6" s="7" t="s">
        <v>22</v>
      </c>
      <c r="B6" s="4" t="s">
        <v>23</v>
      </c>
    </row>
    <row r="7" spans="1:13">
      <c r="A7" s="7" t="s">
        <v>24</v>
      </c>
      <c r="B7" s="4" t="s">
        <v>25</v>
      </c>
      <c r="M7" s="2" t="s">
        <v>26</v>
      </c>
    </row>
    <row r="8" spans="1:13">
      <c r="A8" s="7" t="s">
        <v>27</v>
      </c>
      <c r="B8" s="8">
        <v>46293</v>
      </c>
      <c r="M8" s="2" t="s">
        <v>28</v>
      </c>
    </row>
    <row r="9" spans="1:13">
      <c r="A9" s="7" t="s">
        <v>29</v>
      </c>
      <c r="B9" s="9">
        <v>44</v>
      </c>
      <c r="M9" s="2" t="s">
        <v>30</v>
      </c>
    </row>
    <row r="10" spans="1:13">
      <c r="A10" s="7" t="s">
        <v>31</v>
      </c>
      <c r="B10" s="9">
        <v>24.4</v>
      </c>
    </row>
    <row r="11" spans="1:13">
      <c r="A11" s="7" t="s">
        <v>32</v>
      </c>
      <c r="B11" s="10">
        <v>2026</v>
      </c>
      <c r="M11" s="2" t="s">
        <v>33</v>
      </c>
    </row>
    <row r="12" spans="1:13">
      <c r="A12" s="7" t="s">
        <v>34</v>
      </c>
      <c r="B12" s="11">
        <v>0.19</v>
      </c>
      <c r="M12" s="2" t="s">
        <v>35</v>
      </c>
    </row>
    <row r="14" spans="1:13">
      <c r="A14" s="3" t="s">
        <v>36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3">
      <c r="A15" s="7" t="s">
        <v>37</v>
      </c>
      <c r="B15" s="12">
        <v>0.053</v>
      </c>
      <c r="M15" s="2" t="s">
        <v>38</v>
      </c>
    </row>
    <row r="16" spans="1:13">
      <c r="A16" s="7" t="s">
        <v>39</v>
      </c>
      <c r="B16" s="12">
        <v>0.05</v>
      </c>
      <c r="M16" s="2" t="s">
        <v>40</v>
      </c>
    </row>
    <row r="17" spans="1:13">
      <c r="A17" s="7" t="s">
        <v>41</v>
      </c>
      <c r="B17" s="9">
        <v>1</v>
      </c>
      <c r="M17" s="2" t="s">
        <v>42</v>
      </c>
    </row>
    <row r="18" spans="1:13">
      <c r="A18" s="7" t="s">
        <v>43</v>
      </c>
      <c r="B18" s="12">
        <v>0.01</v>
      </c>
      <c r="M18" s="2" t="s">
        <v>44</v>
      </c>
    </row>
    <row r="19" spans="1:13">
      <c r="A19" s="7" t="s">
        <v>45</v>
      </c>
      <c r="B19" s="13">
        <f>$B$15+$B$17*$B$16+$B$18</f>
        <v>0.113</v>
      </c>
      <c r="M19" s="2" t="s">
        <v>46</v>
      </c>
    </row>
    <row r="20" spans="1:13">
      <c r="A20" s="7" t="s">
        <v>47</v>
      </c>
      <c r="B20" s="13">
        <f>$B$15+$B$16</f>
        <v>0.10300000000000001</v>
      </c>
      <c r="M20" s="2" t="s">
        <v>48</v>
      </c>
    </row>
    <row r="21" spans="1:13">
      <c r="A21" s="7" t="s">
        <v>49</v>
      </c>
      <c r="B21" s="12">
        <v>0.0655</v>
      </c>
    </row>
    <row r="22" spans="1:13">
      <c r="A22" s="7" t="s">
        <v>50</v>
      </c>
      <c r="B22" s="13">
        <f>$B$21*(1-$B$12)</f>
        <v>0.053055000000000005</v>
      </c>
    </row>
    <row r="23" spans="1:13">
      <c r="A23" s="7" t="s">
        <v>51</v>
      </c>
      <c r="B23" s="11">
        <v>0.3</v>
      </c>
      <c r="M23" s="2" t="s">
        <v>52</v>
      </c>
    </row>
    <row r="24" spans="1:13">
      <c r="A24" s="7" t="s">
        <v>53</v>
      </c>
      <c r="B24" s="13">
        <f>(1-$B$23)*$B$19+$B$23*$B$22</f>
        <v>0.0950165</v>
      </c>
      <c r="M24" s="2" t="s">
        <v>54</v>
      </c>
    </row>
    <row r="26" spans="1:13">
      <c r="A26" s="3" t="s">
        <v>55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1:13">
      <c r="A27" s="7" t="s">
        <v>56</v>
      </c>
      <c r="B27" s="14">
        <v>225</v>
      </c>
      <c r="M27" s="2" t="s">
        <v>57</v>
      </c>
    </row>
    <row r="28" spans="1:13">
      <c r="A28" s="7" t="s">
        <v>58</v>
      </c>
      <c r="B28" s="14">
        <v>18</v>
      </c>
      <c r="M28" s="2" t="s">
        <v>59</v>
      </c>
    </row>
    <row r="29" spans="1:13">
      <c r="A29" s="7" t="s">
        <v>60</v>
      </c>
      <c r="B29" s="14">
        <v>12</v>
      </c>
      <c r="M29" s="2" t="s">
        <v>61</v>
      </c>
    </row>
    <row r="30" spans="1:13">
      <c r="A30" s="7" t="s">
        <v>62</v>
      </c>
      <c r="B30" s="14">
        <v>0</v>
      </c>
    </row>
    <row r="31" spans="1:13">
      <c r="A31" s="7" t="s">
        <v>63</v>
      </c>
      <c r="B31" s="14">
        <v>5</v>
      </c>
      <c r="M31" s="2" t="s">
        <v>64</v>
      </c>
    </row>
    <row r="32" spans="1:13">
      <c r="A32" s="7" t="s">
        <v>65</v>
      </c>
      <c r="B32" s="15">
        <f>$B$27+$B$28+$B$29+$B$30-$B$31</f>
        <v>250.0</v>
      </c>
    </row>
    <row r="34" spans="1:13">
      <c r="A34" s="3" t="s">
        <v>66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 spans="1:13">
      <c r="A35" s="7" t="s">
        <v>67</v>
      </c>
      <c r="B35" s="11">
        <v>0.12</v>
      </c>
      <c r="M35" s="2" t="s">
        <v>68</v>
      </c>
    </row>
    <row r="36" spans="1:13">
      <c r="A36" s="7" t="s">
        <v>69</v>
      </c>
      <c r="B36" s="9">
        <v>1.1</v>
      </c>
      <c r="M36" s="2" t="s">
        <v>70</v>
      </c>
    </row>
    <row r="37" spans="1:13">
      <c r="A37" s="7" t="s">
        <v>71</v>
      </c>
      <c r="B37" s="11">
        <v>0.045</v>
      </c>
      <c r="M37" s="2" t="s">
        <v>72</v>
      </c>
    </row>
    <row r="38" spans="1:13">
      <c r="A38" s="7" t="s">
        <v>73</v>
      </c>
      <c r="B38" s="16">
        <v>1</v>
      </c>
    </row>
    <row r="39" spans="1:13">
      <c r="A39" s="7" t="s">
        <v>74</v>
      </c>
      <c r="B39" s="17">
        <v>6.5</v>
      </c>
      <c r="M39" s="2" t="s">
        <v>75</v>
      </c>
    </row>
    <row r="40" spans="1:13">
      <c r="A40" s="7" t="s">
        <v>76</v>
      </c>
      <c r="B40" s="11">
        <v>0.8</v>
      </c>
    </row>
    <row r="41" spans="1:13">
      <c r="A41" s="7" t="s">
        <v>77</v>
      </c>
      <c r="B41" s="12">
        <v>0.005</v>
      </c>
    </row>
    <row r="42" spans="1:13">
      <c r="A42" s="7" t="s">
        <v>78</v>
      </c>
      <c r="B42" s="12">
        <v>0.005</v>
      </c>
    </row>
    <row r="43" spans="1:13">
      <c r="A43" s="7" t="s">
        <v>79</v>
      </c>
      <c r="B43" s="12">
        <v>0.01</v>
      </c>
    </row>
    <row r="45" spans="1:13">
      <c r="A45" s="3" t="s">
        <v>80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</row>
    <row r="46" spans="1:13">
      <c r="A46" s="18" t="s">
        <v>81</v>
      </c>
      <c r="B46" s="18"/>
      <c r="C46" s="19">
        <f>$B$11+0</f>
        <v>2026.0</v>
      </c>
      <c r="D46" s="19">
        <f>$B$11+1</f>
        <v>2027.0</v>
      </c>
      <c r="E46" s="19">
        <f>$B$11+2</f>
        <v>2028.0</v>
      </c>
      <c r="F46" s="19">
        <f>$B$11+3</f>
        <v>2029.0</v>
      </c>
      <c r="G46" s="19">
        <f>$B$11+4</f>
        <v>2030.0</v>
      </c>
      <c r="H46" s="19">
        <f>$B$11+5</f>
        <v>2031.0</v>
      </c>
      <c r="I46" s="19">
        <f>$B$11+6</f>
        <v>2032.0</v>
      </c>
      <c r="J46" s="19">
        <f>$B$11+7</f>
        <v>2033.0</v>
      </c>
      <c r="K46" s="19">
        <f>$B$11+8</f>
        <v>2034.0</v>
      </c>
      <c r="L46" s="19">
        <f>$B$11+9</f>
        <v>2035.0</v>
      </c>
      <c r="M46" s="2" t="s">
        <v>82</v>
      </c>
    </row>
    <row r="47" spans="1:13">
      <c r="A47" s="7" t="s">
        <v>83</v>
      </c>
      <c r="C47" s="11">
        <v>0.045</v>
      </c>
      <c r="D47" s="11">
        <v>0.045</v>
      </c>
      <c r="E47" s="11">
        <v>0.045</v>
      </c>
      <c r="F47" s="11">
        <v>0.045</v>
      </c>
      <c r="G47" s="11">
        <v>0.045</v>
      </c>
      <c r="H47" s="20">
        <f>$G47+($B$37-$G47)*1/5</f>
        <v>0.045</v>
      </c>
      <c r="I47" s="20">
        <f>$G47+($B$37-$G47)*2/5</f>
        <v>0.045</v>
      </c>
      <c r="J47" s="20">
        <f>$G47+($B$37-$G47)*3/5</f>
        <v>0.045</v>
      </c>
      <c r="K47" s="20">
        <f>$G47+($B$37-$G47)*4/5</f>
        <v>0.045</v>
      </c>
      <c r="L47" s="20">
        <f>$G47+($B$37-$G47)*5/5</f>
        <v>0.045</v>
      </c>
      <c r="M47" s="2" t="s">
        <v>84</v>
      </c>
    </row>
    <row r="48" spans="1:13">
      <c r="A48" s="7" t="s">
        <v>85</v>
      </c>
      <c r="C48" s="11">
        <v>0.055</v>
      </c>
      <c r="D48" s="11">
        <v>0.055</v>
      </c>
      <c r="E48" s="11">
        <v>0.053</v>
      </c>
      <c r="F48" s="11">
        <v>0.051</v>
      </c>
      <c r="G48" s="11">
        <v>0.05</v>
      </c>
      <c r="H48" s="20">
        <f>$G48+($B$36*$B$37-$G48)*1/5</f>
        <v>0.0499</v>
      </c>
      <c r="I48" s="20">
        <f>$G48+($B$36*$B$37-$G48)*2/5</f>
        <v>0.049800000000000004</v>
      </c>
      <c r="J48" s="20">
        <f>$G48+($B$36*$B$37-$G48)*3/5</f>
        <v>0.0497</v>
      </c>
      <c r="K48" s="20">
        <f>$G48+($B$36*$B$37-$G48)*4/5</f>
        <v>0.049600000000000005</v>
      </c>
      <c r="L48" s="20">
        <f>$G48+($B$36*$B$37-$G48)*5/5</f>
        <v>0.0495</v>
      </c>
      <c r="M48" s="2" t="s">
        <v>86</v>
      </c>
    </row>
    <row r="49" spans="1:13">
      <c r="A49" s="7" t="s">
        <v>87</v>
      </c>
      <c r="C49" s="11">
        <v>0</v>
      </c>
      <c r="D49" s="11">
        <v>0</v>
      </c>
      <c r="E49" s="11">
        <v>0</v>
      </c>
      <c r="F49" s="11">
        <v>0</v>
      </c>
      <c r="G49" s="11">
        <v>0</v>
      </c>
      <c r="H49" s="20">
        <f>$G49+(0-$G49)*1/5</f>
        <v>0.0</v>
      </c>
      <c r="I49" s="20">
        <f>$G49+(0-$G49)*2/5</f>
        <v>0.0</v>
      </c>
      <c r="J49" s="20">
        <f>$G49+(0-$G49)*3/5</f>
        <v>0.0</v>
      </c>
      <c r="K49" s="20">
        <f>$G49+(0-$G49)*4/5</f>
        <v>0.0</v>
      </c>
      <c r="L49" s="20">
        <f>$G49+(0-$G49)*5/5</f>
        <v>0.0</v>
      </c>
      <c r="M49" s="2" t="s">
        <v>88</v>
      </c>
    </row>
    <row r="50" spans="1:13">
      <c r="A50" s="7" t="s">
        <v>89</v>
      </c>
      <c r="C50" s="11">
        <v>0.19</v>
      </c>
      <c r="D50" s="11">
        <v>0.19</v>
      </c>
      <c r="E50" s="11">
        <v>0.19</v>
      </c>
      <c r="F50" s="11">
        <v>0.19</v>
      </c>
      <c r="G50" s="11">
        <v>0.19</v>
      </c>
      <c r="H50" s="20">
        <f>$G50+($B$12-$G50)*1/5</f>
        <v>0.19</v>
      </c>
      <c r="I50" s="20">
        <f>$G50+($B$12-$G50)*2/5</f>
        <v>0.19</v>
      </c>
      <c r="J50" s="20">
        <f>$G50+($B$12-$G50)*3/5</f>
        <v>0.19</v>
      </c>
      <c r="K50" s="20">
        <f>$G50+($B$12-$G50)*4/5</f>
        <v>0.19</v>
      </c>
      <c r="L50" s="20">
        <f>$G50+($B$12-$G50)*5/5</f>
        <v>0.19</v>
      </c>
      <c r="M50" s="2" t="s">
        <v>90</v>
      </c>
    </row>
    <row r="52" spans="1:13">
      <c r="A52" s="3" t="s">
        <v>91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>
      <c r="A53" s="21" t="s">
        <v>92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</row>
    <row r="54" spans="1:13">
      <c r="A54" s="7" t="s">
        <v>81</v>
      </c>
      <c r="C54" s="22">
        <f>C$46</f>
        <v>2026.0</v>
      </c>
      <c r="D54" s="22">
        <f>D$46</f>
        <v>2027.0</v>
      </c>
      <c r="E54" s="22">
        <f>E$46</f>
        <v>2028.0</v>
      </c>
      <c r="F54" s="22">
        <f>F$46</f>
        <v>2029.0</v>
      </c>
      <c r="G54" s="22">
        <f>G$46</f>
        <v>2030.0</v>
      </c>
      <c r="H54" s="22">
        <f>H$46</f>
        <v>2031.0</v>
      </c>
      <c r="I54" s="22">
        <f>I$46</f>
        <v>2032.0</v>
      </c>
      <c r="J54" s="22">
        <f>J$46</f>
        <v>2033.0</v>
      </c>
      <c r="K54" s="22">
        <f>K$46</f>
        <v>2034.0</v>
      </c>
      <c r="L54" s="22">
        <f>L$46</f>
        <v>2035.0</v>
      </c>
    </row>
    <row r="55" spans="1:13">
      <c r="A55" s="7" t="s">
        <v>93</v>
      </c>
      <c r="C55" s="11">
        <v>0.03</v>
      </c>
      <c r="D55" s="11">
        <v>0.03</v>
      </c>
      <c r="E55" s="11">
        <v>0.025</v>
      </c>
      <c r="F55" s="11">
        <v>0.02</v>
      </c>
      <c r="G55" s="11">
        <v>0.015</v>
      </c>
      <c r="H55" s="20">
        <f>$G55+($B$59-$G55)*1/5</f>
        <v>0.015</v>
      </c>
      <c r="I55" s="20">
        <f>$G55+($B$59-$G55)*2/5</f>
        <v>0.015</v>
      </c>
      <c r="J55" s="20">
        <f>$G55+($B$59-$G55)*3/5</f>
        <v>0.015</v>
      </c>
      <c r="K55" s="20">
        <f>$G55+($B$59-$G55)*4/5</f>
        <v>0.015</v>
      </c>
      <c r="L55" s="20">
        <f>$G55+($B$59-$G55)*5/5</f>
        <v>0.015</v>
      </c>
      <c r="M55" s="2" t="s">
        <v>95</v>
      </c>
    </row>
    <row r="56" spans="1:13">
      <c r="A56" s="7" t="s">
        <v>94</v>
      </c>
      <c r="C56" s="11">
        <v>0.13</v>
      </c>
      <c r="D56" s="11">
        <v>0.125</v>
      </c>
      <c r="E56" s="11">
        <v>0.12</v>
      </c>
      <c r="F56" s="11">
        <v>0.12</v>
      </c>
      <c r="G56" s="11">
        <v>0.12</v>
      </c>
      <c r="H56" s="20">
        <f>$G56+($B$57-$G56)*1/5</f>
        <v>0.12</v>
      </c>
      <c r="I56" s="20">
        <f>$G56+($B$57-$G56)*2/5</f>
        <v>0.12</v>
      </c>
      <c r="J56" s="20">
        <f>$G56+($B$57-$G56)*3/5</f>
        <v>0.12</v>
      </c>
      <c r="K56" s="20">
        <f>$G56+($B$57-$G56)*4/5</f>
        <v>0.12</v>
      </c>
      <c r="L56" s="20">
        <f>$G56+($B$57-$G56)*5/5</f>
        <v>0.12</v>
      </c>
    </row>
    <row r="57" spans="1:13">
      <c r="A57" s="7" t="s">
        <v>96</v>
      </c>
      <c r="B57" s="11">
        <v>0.12</v>
      </c>
      <c r="M57" s="2" t="s">
        <v>97</v>
      </c>
    </row>
    <row r="58" spans="1:13">
      <c r="A58" s="7" t="s">
        <v>98</v>
      </c>
      <c r="B58" s="23">
        <v>0.01</v>
      </c>
    </row>
    <row r="59" spans="1:13">
      <c r="A59" s="7" t="s">
        <v>99</v>
      </c>
      <c r="B59" s="12">
        <v>0.015</v>
      </c>
      <c r="M59" s="2" t="s">
        <v>100</v>
      </c>
    </row>
    <row r="60" spans="1:13">
      <c r="A60" s="7" t="s">
        <v>101</v>
      </c>
      <c r="B60" s="11">
        <v>0.25</v>
      </c>
    </row>
    <row r="62" spans="1:13">
      <c r="A62" s="21" t="s">
        <v>102</v>
      </c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</row>
    <row r="63" spans="1:13">
      <c r="A63" s="7" t="s">
        <v>81</v>
      </c>
      <c r="C63" s="22">
        <f>C$46</f>
        <v>2026.0</v>
      </c>
      <c r="D63" s="22">
        <f>D$46</f>
        <v>2027.0</v>
      </c>
      <c r="E63" s="22">
        <f>E$46</f>
        <v>2028.0</v>
      </c>
      <c r="F63" s="22">
        <f>F$46</f>
        <v>2029.0</v>
      </c>
      <c r="G63" s="22">
        <f>G$46</f>
        <v>2030.0</v>
      </c>
      <c r="H63" s="22">
        <f>H$46</f>
        <v>2031.0</v>
      </c>
      <c r="I63" s="22">
        <f>I$46</f>
        <v>2032.0</v>
      </c>
      <c r="J63" s="22">
        <f>J$46</f>
        <v>2033.0</v>
      </c>
      <c r="K63" s="22">
        <f>K$46</f>
        <v>2034.0</v>
      </c>
      <c r="L63" s="22">
        <f>L$46</f>
        <v>2035.0</v>
      </c>
    </row>
    <row r="64" spans="1:13">
      <c r="A64" s="7" t="s">
        <v>93</v>
      </c>
      <c r="C64" s="11">
        <v>0.052</v>
      </c>
      <c r="D64" s="11">
        <v>0.058</v>
      </c>
      <c r="E64" s="11">
        <v>0.05</v>
      </c>
      <c r="F64" s="11">
        <v>0.045</v>
      </c>
      <c r="G64" s="11">
        <v>0.04</v>
      </c>
      <c r="H64" s="20">
        <f>$G64+($B$68-$G64)*1/5</f>
        <v>0.036000000000000004</v>
      </c>
      <c r="I64" s="20">
        <f>$G64+($B$68-$G64)*2/5</f>
        <v>0.032</v>
      </c>
      <c r="J64" s="20">
        <f>$G64+($B$68-$G64)*3/5</f>
        <v>0.028</v>
      </c>
      <c r="K64" s="20">
        <f>$G64+($B$68-$G64)*4/5</f>
        <v>0.024</v>
      </c>
      <c r="L64" s="20">
        <f>$G64+($B$68-$G64)*5/5</f>
        <v>0.02</v>
      </c>
      <c r="M64" s="2" t="s">
        <v>95</v>
      </c>
    </row>
    <row r="65" spans="1:13">
      <c r="A65" s="7" t="s">
        <v>94</v>
      </c>
      <c r="C65" s="11">
        <v>0.145</v>
      </c>
      <c r="D65" s="11">
        <v>0.149</v>
      </c>
      <c r="E65" s="11">
        <v>0.15</v>
      </c>
      <c r="F65" s="11">
        <v>0.15</v>
      </c>
      <c r="G65" s="11">
        <v>0.15</v>
      </c>
      <c r="H65" s="20">
        <f>$G65+($B$66-$G65)*1/5</f>
        <v>0.15</v>
      </c>
      <c r="I65" s="20">
        <f>$G65+($B$66-$G65)*2/5</f>
        <v>0.15</v>
      </c>
      <c r="J65" s="20">
        <f>$G65+($B$66-$G65)*3/5</f>
        <v>0.15</v>
      </c>
      <c r="K65" s="20">
        <f>$G65+($B$66-$G65)*4/5</f>
        <v>0.15</v>
      </c>
      <c r="L65" s="20">
        <f>$G65+($B$66-$G65)*5/5</f>
        <v>0.15</v>
      </c>
    </row>
    <row r="66" spans="1:13">
      <c r="A66" s="7" t="s">
        <v>96</v>
      </c>
      <c r="B66" s="11">
        <v>0.15</v>
      </c>
      <c r="M66" s="2" t="s">
        <v>97</v>
      </c>
    </row>
    <row r="67" spans="1:13">
      <c r="A67" s="7" t="s">
        <v>98</v>
      </c>
      <c r="B67" s="23">
        <v>0</v>
      </c>
    </row>
    <row r="68" spans="1:13">
      <c r="A68" s="7" t="s">
        <v>99</v>
      </c>
      <c r="B68" s="12">
        <v>0.02</v>
      </c>
      <c r="M68" s="2" t="s">
        <v>100</v>
      </c>
    </row>
    <row r="69" spans="1:13">
      <c r="A69" s="7" t="s">
        <v>101</v>
      </c>
      <c r="B69" s="11">
        <v>0.5</v>
      </c>
    </row>
    <row r="71" spans="1:13">
      <c r="A71" s="21" t="s">
        <v>103</v>
      </c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</row>
    <row r="72" spans="1:13">
      <c r="A72" s="7" t="s">
        <v>81</v>
      </c>
      <c r="C72" s="22">
        <f>C$46</f>
        <v>2026.0</v>
      </c>
      <c r="D72" s="22">
        <f>D$46</f>
        <v>2027.0</v>
      </c>
      <c r="E72" s="22">
        <f>E$46</f>
        <v>2028.0</v>
      </c>
      <c r="F72" s="22">
        <f>F$46</f>
        <v>2029.0</v>
      </c>
      <c r="G72" s="22">
        <f>G$46</f>
        <v>2030.0</v>
      </c>
      <c r="H72" s="22">
        <f>H$46</f>
        <v>2031.0</v>
      </c>
      <c r="I72" s="22">
        <f>I$46</f>
        <v>2032.0</v>
      </c>
      <c r="J72" s="22">
        <f>J$46</f>
        <v>2033.0</v>
      </c>
      <c r="K72" s="22">
        <f>K$46</f>
        <v>2034.0</v>
      </c>
      <c r="L72" s="22">
        <f>L$46</f>
        <v>2035.0</v>
      </c>
    </row>
    <row r="73" spans="1:13">
      <c r="A73" s="7" t="s">
        <v>93</v>
      </c>
      <c r="C73" s="11">
        <v>0.06</v>
      </c>
      <c r="D73" s="11">
        <v>0.065</v>
      </c>
      <c r="E73" s="11">
        <v>0.055</v>
      </c>
      <c r="F73" s="11">
        <v>0.045</v>
      </c>
      <c r="G73" s="11">
        <v>0.035</v>
      </c>
      <c r="H73" s="20">
        <f>$G73+($B$77-$G73)*1/5</f>
        <v>0.033</v>
      </c>
      <c r="I73" s="20">
        <f>$G73+($B$77-$G73)*2/5</f>
        <v>0.031000000000000003</v>
      </c>
      <c r="J73" s="20">
        <f>$G73+($B$77-$G73)*3/5</f>
        <v>0.029</v>
      </c>
      <c r="K73" s="20">
        <f>$G73+($B$77-$G73)*4/5</f>
        <v>0.027000000000000003</v>
      </c>
      <c r="L73" s="20">
        <f>$G73+($B$77-$G73)*5/5</f>
        <v>0.025</v>
      </c>
      <c r="M73" s="2" t="s">
        <v>95</v>
      </c>
    </row>
    <row r="74" spans="1:13">
      <c r="A74" s="7" t="s">
        <v>94</v>
      </c>
      <c r="C74" s="11">
        <v>0.148</v>
      </c>
      <c r="D74" s="11">
        <v>0.155</v>
      </c>
      <c r="E74" s="11">
        <v>0.16</v>
      </c>
      <c r="F74" s="11">
        <v>0.16</v>
      </c>
      <c r="G74" s="11">
        <v>0.16</v>
      </c>
      <c r="H74" s="20">
        <f>$G74+($B$75-$G74)*1/5</f>
        <v>0.16</v>
      </c>
      <c r="I74" s="20">
        <f>$G74+($B$75-$G74)*2/5</f>
        <v>0.16</v>
      </c>
      <c r="J74" s="20">
        <f>$G74+($B$75-$G74)*3/5</f>
        <v>0.16</v>
      </c>
      <c r="K74" s="20">
        <f>$G74+($B$75-$G74)*4/5</f>
        <v>0.16</v>
      </c>
      <c r="L74" s="20">
        <f>$G74+($B$75-$G74)*5/5</f>
        <v>0.16</v>
      </c>
    </row>
    <row r="75" spans="1:13">
      <c r="A75" s="7" t="s">
        <v>96</v>
      </c>
      <c r="B75" s="11">
        <v>0.16</v>
      </c>
      <c r="M75" s="2" t="s">
        <v>97</v>
      </c>
    </row>
    <row r="76" spans="1:13">
      <c r="A76" s="7" t="s">
        <v>98</v>
      </c>
      <c r="B76" s="23">
        <v>-0.005</v>
      </c>
    </row>
    <row r="77" spans="1:13">
      <c r="A77" s="7" t="s">
        <v>99</v>
      </c>
      <c r="B77" s="12">
        <v>0.025</v>
      </c>
      <c r="M77" s="2" t="s">
        <v>100</v>
      </c>
    </row>
    <row r="78" spans="1:13">
      <c r="A78" s="7" t="s">
        <v>101</v>
      </c>
      <c r="B78" s="11">
        <v>0.25</v>
      </c>
    </row>
    <row r="80" spans="1:13">
      <c r="A80" s="24" t="s">
        <v>104</v>
      </c>
      <c r="B80" s="25">
        <f>SUM(B60,B69,B78)</f>
        <v>1.0</v>
      </c>
    </row>
  </sheetData>
  <dataValidations count="1">
    <dataValidation type="list" allowBlank="1" showInputMessage="1" showErrorMessage="1" sqref="B38">
      <formula1>"0,1"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8"/>
  <sheetViews>
    <sheetView showGridLines="0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5"/>
  <cols>
    <col min="1" max="1" width="40.7109375" customWidth="1"/>
    <col min="2" max="4" width="12.7109375" customWidth="1"/>
    <col min="5" max="5" width="70.7109375" customWidth="1"/>
  </cols>
  <sheetData>
    <row r="1" spans="1:5">
      <c r="A1" s="1" t="s">
        <v>105</v>
      </c>
    </row>
    <row r="2" spans="1:5">
      <c r="A2" s="2" t="s">
        <v>106</v>
      </c>
    </row>
    <row r="3" spans="1:5">
      <c r="A3" s="21" t="s">
        <v>25</v>
      </c>
      <c r="B3" s="19">
        <v>2023</v>
      </c>
      <c r="C3" s="19">
        <v>2024</v>
      </c>
      <c r="D3" s="19">
        <v>2025</v>
      </c>
      <c r="E3" s="21" t="s">
        <v>107</v>
      </c>
    </row>
    <row r="4" spans="1:5">
      <c r="A4" s="7" t="s">
        <v>108</v>
      </c>
      <c r="B4" s="26">
        <v>1240</v>
      </c>
      <c r="C4" s="26">
        <v>1318</v>
      </c>
      <c r="D4" s="26">
        <v>1402</v>
      </c>
      <c r="E4" s="2" t="s">
        <v>109</v>
      </c>
    </row>
    <row r="5" spans="1:5">
      <c r="A5" s="7" t="s">
        <v>93</v>
      </c>
      <c r="B5" s="27" t="s">
        <v>128</v>
      </c>
      <c r="C5" s="28">
        <f>IF(AND(ISNUMBER(C4),ISNUMBER(B4)),C4/B4-1,"n/d")</f>
        <v>0.06290322580645169</v>
      </c>
      <c r="D5" s="28">
        <f>IF(AND(ISNUMBER(D4),ISNUMBER(C4)),D4/C4-1,"n/d")</f>
        <v>0.06373292867981784</v>
      </c>
    </row>
    <row r="6" spans="1:5">
      <c r="A6" s="7" t="s">
        <v>110</v>
      </c>
      <c r="B6" s="26">
        <v>186</v>
      </c>
      <c r="C6" s="26">
        <v>171</v>
      </c>
      <c r="D6" s="26">
        <v>196</v>
      </c>
      <c r="E6" s="2" t="s">
        <v>111</v>
      </c>
    </row>
    <row r="7" spans="1:5">
      <c r="A7" s="7" t="s">
        <v>94</v>
      </c>
      <c r="B7" s="28">
        <f>IF(AND(ISNUMBER(B6),ISNUMBER(B4)),B6/B4,"n/d")</f>
        <v>0.15</v>
      </c>
      <c r="C7" s="28">
        <f>IF(AND(ISNUMBER(C6),ISNUMBER(C4)),C6/C4,"n/d")</f>
        <v>0.12974203338391502</v>
      </c>
      <c r="D7" s="28">
        <f>IF(AND(ISNUMBER(D6),ISNUMBER(D4)),D6/D4,"n/d")</f>
        <v>0.1398002853067047</v>
      </c>
    </row>
    <row r="8" spans="1:5">
      <c r="A8" s="7" t="s">
        <v>112</v>
      </c>
      <c r="B8" s="26">
        <v>56</v>
      </c>
      <c r="C8" s="26">
        <v>59</v>
      </c>
      <c r="D8" s="26">
        <v>63</v>
      </c>
    </row>
    <row r="9" spans="1:5">
      <c r="A9" s="7" t="s">
        <v>83</v>
      </c>
      <c r="B9" s="28">
        <f>IF(AND(ISNUMBER(B8),ISNUMBER(B4)),B8/B4,"n/d")</f>
        <v>0.04516129032258064</v>
      </c>
      <c r="C9" s="28">
        <f>IF(AND(ISNUMBER(C8),ISNUMBER(C4)),C8/C4,"n/d")</f>
        <v>0.044764795144157814</v>
      </c>
      <c r="D9" s="28">
        <f>IF(AND(ISNUMBER(D8),ISNUMBER(D4)),D8/D4,"n/d")</f>
        <v>0.0449358059914408</v>
      </c>
      <c r="E9" s="2" t="s">
        <v>113</v>
      </c>
    </row>
    <row r="10" spans="1:5">
      <c r="A10" s="7" t="s">
        <v>114</v>
      </c>
      <c r="B10" s="29">
        <f>IF(AND(ISNUMBER(B6),ISNUMBER(B8)),B6-B8,"n/d")</f>
        <v>130.0</v>
      </c>
      <c r="C10" s="29">
        <f>IF(AND(ISNUMBER(C6),ISNUMBER(C8)),C6-C8,"n/d")</f>
        <v>112.0</v>
      </c>
      <c r="D10" s="29">
        <f>IF(AND(ISNUMBER(D6),ISNUMBER(D8)),D6-D8,"n/d")</f>
        <v>133.0</v>
      </c>
    </row>
    <row r="11" spans="1:5">
      <c r="A11" s="7" t="s">
        <v>115</v>
      </c>
      <c r="B11" s="26">
        <v>92</v>
      </c>
      <c r="C11" s="26">
        <v>74</v>
      </c>
      <c r="D11" s="26">
        <v>98</v>
      </c>
    </row>
    <row r="12" spans="1:5">
      <c r="A12" s="7" t="s">
        <v>116</v>
      </c>
      <c r="B12" s="26">
        <v>67</v>
      </c>
      <c r="C12" s="26">
        <v>70</v>
      </c>
      <c r="D12" s="26">
        <v>76</v>
      </c>
      <c r="E12" s="2" t="s">
        <v>117</v>
      </c>
    </row>
    <row r="13" spans="1:5">
      <c r="A13" s="7" t="s">
        <v>85</v>
      </c>
      <c r="B13" s="28">
        <f>IF(AND(ISNUMBER(B12),ISNUMBER(B4)),B12/B4,"n/d")</f>
        <v>0.05403225806451613</v>
      </c>
      <c r="C13" s="28">
        <f>IF(AND(ISNUMBER(C12),ISNUMBER(C4)),C12/C4,"n/d")</f>
        <v>0.05311077389984825</v>
      </c>
      <c r="D13" s="28">
        <f>IF(AND(ISNUMBER(D12),ISNUMBER(D4)),D12/D4,"n/d")</f>
        <v>0.05420827389443652</v>
      </c>
      <c r="E13" s="2" t="s">
        <v>118</v>
      </c>
    </row>
    <row r="14" spans="1:5">
      <c r="A14" s="7" t="s">
        <v>119</v>
      </c>
      <c r="B14" s="30">
        <f>IF(AND(ISNUMBER(B12),ISNUMBER(B8)),B12/B8,"n/d")</f>
        <v>1.1964285714285714</v>
      </c>
      <c r="C14" s="30">
        <f>IF(AND(ISNUMBER(C12),ISNUMBER(C8)),C12/C8,"n/d")</f>
        <v>1.1864406779661016</v>
      </c>
      <c r="D14" s="30">
        <f>IF(AND(ISNUMBER(D12),ISNUMBER(D8)),D12/D8,"n/d")</f>
        <v>1.2063492063492063</v>
      </c>
      <c r="E14" s="2" t="s">
        <v>120</v>
      </c>
    </row>
    <row r="15" spans="1:5">
      <c r="A15" s="7" t="s">
        <v>121</v>
      </c>
      <c r="B15" s="26">
        <v>61</v>
      </c>
      <c r="C15" s="26">
        <v>48</v>
      </c>
      <c r="D15" s="26">
        <v>83</v>
      </c>
      <c r="E15" s="2" t="s">
        <v>122</v>
      </c>
    </row>
    <row r="16" spans="1:5">
      <c r="A16" s="7" t="s">
        <v>123</v>
      </c>
      <c r="B16" s="31">
        <v>1.4</v>
      </c>
      <c r="C16" s="31">
        <v>1.7</v>
      </c>
      <c r="D16" s="31">
        <v>1.2</v>
      </c>
    </row>
    <row r="17" spans="1:5">
      <c r="A17" s="7" t="s">
        <v>124</v>
      </c>
      <c r="B17" s="26" t="s">
        <v>128</v>
      </c>
      <c r="C17" s="26" t="s">
        <v>128</v>
      </c>
      <c r="D17" s="26" t="s">
        <v>128</v>
      </c>
      <c r="E17" s="2" t="s">
        <v>125</v>
      </c>
    </row>
    <row r="18" spans="1:5">
      <c r="A18" s="7" t="s">
        <v>126</v>
      </c>
      <c r="B18" s="28" t="str">
        <f>IF(ISNUMBER(B17),B17/B4,"n/d")</f>
        <v>n/d</v>
      </c>
      <c r="C18" s="28" t="str">
        <f>IF(ISNUMBER(C17),C17/C4,"n/d")</f>
        <v>n/d</v>
      </c>
      <c r="D18" s="28" t="str">
        <f>IF(ISNUMBER(D17),D17/D4,"n/d")</f>
        <v>n/d</v>
      </c>
      <c r="E18" s="2" t="s">
        <v>127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130"/>
  <sheetViews>
    <sheetView showGridLines="0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5"/>
  <cols>
    <col min="1" max="1" width="54.7109375" customWidth="1"/>
    <col min="2" max="2" width="12.7109375" customWidth="1"/>
    <col min="3" max="16" width="11.7109375" customWidth="1"/>
  </cols>
  <sheetData>
    <row r="1" spans="1:16">
      <c r="A1" s="1" t="s">
        <v>129</v>
      </c>
    </row>
    <row r="2" spans="1:16">
      <c r="A2" s="2" t="str">
        <f>Zalozenia!$B$5&amp;" ("&amp;Zalozenia!$B$6&amp;"), kwoty w "&amp;Zalozenia!$B$7&amp;"; lata 1–5 z założeń, lata 6–10 wygaszanie do stanu ustalonego."</f>
        <v>Spółka Przykładowa S.A. (SPRZ), kwoty w mln zł; lata 1–5 z założeń, lata 6–10 wygaszanie do stanu ustalonego.</v>
      </c>
    </row>
    <row r="3" spans="1:16">
      <c r="C3" s="2" t="s">
        <v>132</v>
      </c>
      <c r="F3" s="2" t="s">
        <v>133</v>
      </c>
      <c r="K3" s="2" t="s">
        <v>134</v>
      </c>
      <c r="P3" s="2" t="s">
        <v>135</v>
      </c>
    </row>
    <row r="4" spans="1:16">
      <c r="A4" s="21" t="s">
        <v>130</v>
      </c>
      <c r="B4" s="18"/>
      <c r="C4" s="19">
        <f>Historia!B3</f>
        <v>2023</v>
      </c>
      <c r="D4" s="19">
        <f>Historia!C3</f>
        <v>2024</v>
      </c>
      <c r="E4" s="19">
        <f>Historia!D3</f>
        <v>2025</v>
      </c>
      <c r="F4" s="19">
        <f>Zalozenia!C$46</f>
        <v>2026.0</v>
      </c>
      <c r="G4" s="19">
        <f>Zalozenia!D$46</f>
        <v>2027.0</v>
      </c>
      <c r="H4" s="19">
        <f>Zalozenia!E$46</f>
        <v>2028.0</v>
      </c>
      <c r="I4" s="19">
        <f>Zalozenia!F$46</f>
        <v>2029.0</v>
      </c>
      <c r="J4" s="19">
        <f>Zalozenia!G$46</f>
        <v>2030.0</v>
      </c>
      <c r="K4" s="19">
        <f>Zalozenia!H$46</f>
        <v>2031.0</v>
      </c>
      <c r="L4" s="19">
        <f>Zalozenia!I$46</f>
        <v>2032.0</v>
      </c>
      <c r="M4" s="19">
        <f>Zalozenia!J$46</f>
        <v>2033.0</v>
      </c>
      <c r="N4" s="19">
        <f>Zalozenia!K$46</f>
        <v>2034.0</v>
      </c>
      <c r="O4" s="19">
        <f>Zalozenia!L$46</f>
        <v>2035.0</v>
      </c>
      <c r="P4" s="18" t="s">
        <v>131</v>
      </c>
    </row>
    <row r="5" spans="1:16">
      <c r="A5" s="7" t="s">
        <v>93</v>
      </c>
      <c r="B5" s="2" t="s">
        <v>136</v>
      </c>
      <c r="D5" s="32">
        <f>Historia!C5</f>
        <v>0.06290322580645169</v>
      </c>
      <c r="E5" s="32">
        <f>Historia!D5</f>
        <v>0.06373292867981784</v>
      </c>
      <c r="F5" s="33">
        <f>Zalozenia!C55</f>
        <v>0.03</v>
      </c>
      <c r="G5" s="33">
        <f>Zalozenia!D55</f>
        <v>0.03</v>
      </c>
      <c r="H5" s="33">
        <f>Zalozenia!E55</f>
        <v>0.025</v>
      </c>
      <c r="I5" s="33">
        <f>Zalozenia!F55</f>
        <v>0.02</v>
      </c>
      <c r="J5" s="33">
        <f>Zalozenia!G55</f>
        <v>0.015</v>
      </c>
      <c r="K5" s="33">
        <f>Zalozenia!H55</f>
        <v>0.015</v>
      </c>
      <c r="L5" s="33">
        <f>Zalozenia!I55</f>
        <v>0.015</v>
      </c>
      <c r="M5" s="33">
        <f>Zalozenia!J55</f>
        <v>0.015</v>
      </c>
      <c r="N5" s="33">
        <f>Zalozenia!K55</f>
        <v>0.015</v>
      </c>
      <c r="O5" s="33">
        <f>Zalozenia!L55</f>
        <v>0.015</v>
      </c>
      <c r="P5" s="34">
        <f>$C$26</f>
        <v>0.015</v>
      </c>
    </row>
    <row r="6" spans="1:16">
      <c r="A6" s="35" t="s">
        <v>108</v>
      </c>
      <c r="B6" s="2" t="s">
        <v>25</v>
      </c>
      <c r="C6" s="36">
        <f>Historia!B4</f>
        <v>1240</v>
      </c>
      <c r="D6" s="36">
        <f>Historia!C4</f>
        <v>1318</v>
      </c>
      <c r="E6" s="36">
        <f>Historia!D4</f>
        <v>1402</v>
      </c>
      <c r="F6" s="37">
        <f>E6*(1+F5)</f>
        <v>1444.06</v>
      </c>
      <c r="G6" s="37">
        <f>F6*(1+G5)</f>
        <v>1487.3817999999999</v>
      </c>
      <c r="H6" s="37">
        <f>G6*(1+H5)</f>
        <v>1524.5663449999997</v>
      </c>
      <c r="I6" s="37">
        <f>H6*(1+I5)</f>
        <v>1555.0576718999998</v>
      </c>
      <c r="J6" s="37">
        <f>I6*(1+J5)</f>
        <v>1578.3835369784997</v>
      </c>
      <c r="K6" s="37">
        <f>J6*(1+K5)</f>
        <v>1602.0592900331771</v>
      </c>
      <c r="L6" s="37">
        <f>K6*(1+L5)</f>
        <v>1626.0901793836747</v>
      </c>
      <c r="M6" s="37">
        <f>L6*(1+M5)</f>
        <v>1650.4815320744297</v>
      </c>
      <c r="N6" s="37">
        <f>M6*(1+N5)</f>
        <v>1675.2387550555459</v>
      </c>
      <c r="O6" s="37">
        <f>N6*(1+O5)</f>
        <v>1700.367336381379</v>
      </c>
      <c r="P6" s="37">
        <f>O6*(1+P5)</f>
        <v>1725.8728464270994</v>
      </c>
    </row>
    <row r="7" spans="1:16">
      <c r="A7" s="7" t="s">
        <v>94</v>
      </c>
      <c r="B7" s="2" t="s">
        <v>136</v>
      </c>
      <c r="C7" s="28">
        <f>IF(AND(ISNUMBER(C8),ISNUMBER(C6)),C8/C6,"n/d")</f>
        <v>0.15</v>
      </c>
      <c r="D7" s="28">
        <f>IF(AND(ISNUMBER(D8),ISNUMBER(D6)),D8/D6,"n/d")</f>
        <v>0.12974203338391502</v>
      </c>
      <c r="E7" s="28">
        <f>IF(AND(ISNUMBER(E8),ISNUMBER(E6)),E8/E6,"n/d")</f>
        <v>0.1398002853067047</v>
      </c>
      <c r="F7" s="33">
        <f>Zalozenia!C56</f>
        <v>0.13</v>
      </c>
      <c r="G7" s="33">
        <f>Zalozenia!D56</f>
        <v>0.125</v>
      </c>
      <c r="H7" s="33">
        <f>Zalozenia!E56</f>
        <v>0.12</v>
      </c>
      <c r="I7" s="33">
        <f>Zalozenia!F56</f>
        <v>0.12</v>
      </c>
      <c r="J7" s="33">
        <f>Zalozenia!G56</f>
        <v>0.12</v>
      </c>
      <c r="K7" s="33">
        <f>Zalozenia!H56</f>
        <v>0.12</v>
      </c>
      <c r="L7" s="33">
        <f>Zalozenia!I56</f>
        <v>0.12</v>
      </c>
      <c r="M7" s="33">
        <f>Zalozenia!J56</f>
        <v>0.12</v>
      </c>
      <c r="N7" s="33">
        <f>Zalozenia!K56</f>
        <v>0.12</v>
      </c>
      <c r="O7" s="33">
        <f>Zalozenia!L56</f>
        <v>0.12</v>
      </c>
      <c r="P7" s="34">
        <f>O7</f>
        <v>0.12</v>
      </c>
    </row>
    <row r="8" spans="1:16">
      <c r="A8" s="35" t="s">
        <v>110</v>
      </c>
      <c r="B8" s="2" t="s">
        <v>25</v>
      </c>
      <c r="C8" s="36">
        <f>Historia!B6</f>
        <v>186</v>
      </c>
      <c r="D8" s="36">
        <f>Historia!C6</f>
        <v>171</v>
      </c>
      <c r="E8" s="36">
        <f>Historia!D6</f>
        <v>196</v>
      </c>
      <c r="F8" s="37">
        <f>F6*F7</f>
        <v>187.7278</v>
      </c>
      <c r="G8" s="37">
        <f>G6*G7</f>
        <v>185.92272499999999</v>
      </c>
      <c r="H8" s="37">
        <f>H6*H7</f>
        <v>182.94796139999997</v>
      </c>
      <c r="I8" s="37">
        <f>I6*I7</f>
        <v>186.60692062799998</v>
      </c>
      <c r="J8" s="37">
        <f>J6*J7</f>
        <v>189.40602443741994</v>
      </c>
      <c r="K8" s="37">
        <f>K6*K7</f>
        <v>192.24711480398125</v>
      </c>
      <c r="L8" s="37">
        <f>L6*L7</f>
        <v>195.13082152604096</v>
      </c>
      <c r="M8" s="37">
        <f>M6*M7</f>
        <v>198.05778384893156</v>
      </c>
      <c r="N8" s="37">
        <f>N6*N7</f>
        <v>201.0286506066655</v>
      </c>
      <c r="O8" s="37">
        <f>O6*O7</f>
        <v>204.04408036576547</v>
      </c>
      <c r="P8" s="37">
        <f>P6*P7</f>
        <v>207.1047415712519</v>
      </c>
    </row>
    <row r="9" spans="1:16">
      <c r="A9" s="7" t="s">
        <v>83</v>
      </c>
      <c r="B9" s="2" t="s">
        <v>136</v>
      </c>
      <c r="C9" s="28">
        <f>IF(AND(ISNUMBER(C10),ISNUMBER(C6)),C10/C6,"n/d")</f>
        <v>0.04516129032258064</v>
      </c>
      <c r="D9" s="28">
        <f>IF(AND(ISNUMBER(D10),ISNUMBER(D6)),D10/D6,"n/d")</f>
        <v>0.044764795144157814</v>
      </c>
      <c r="E9" s="28">
        <f>IF(AND(ISNUMBER(E10),ISNUMBER(E6)),E10/E6,"n/d")</f>
        <v>0.0449358059914408</v>
      </c>
      <c r="F9" s="33">
        <f>Zalozenia!C$47</f>
        <v>0.045</v>
      </c>
      <c r="G9" s="33">
        <f>Zalozenia!D$47</f>
        <v>0.045</v>
      </c>
      <c r="H9" s="33">
        <f>Zalozenia!E$47</f>
        <v>0.045</v>
      </c>
      <c r="I9" s="33">
        <f>Zalozenia!F$47</f>
        <v>0.045</v>
      </c>
      <c r="J9" s="33">
        <f>Zalozenia!G$47</f>
        <v>0.045</v>
      </c>
      <c r="K9" s="33">
        <f>Zalozenia!H$47</f>
        <v>0.045</v>
      </c>
      <c r="L9" s="33">
        <f>Zalozenia!I$47</f>
        <v>0.045</v>
      </c>
      <c r="M9" s="33">
        <f>Zalozenia!J$47</f>
        <v>0.045</v>
      </c>
      <c r="N9" s="33">
        <f>Zalozenia!K$47</f>
        <v>0.045</v>
      </c>
      <c r="O9" s="33">
        <f>Zalozenia!L$47</f>
        <v>0.045</v>
      </c>
      <c r="P9" s="33">
        <f>Zalozenia!$B$37</f>
        <v>0.045</v>
      </c>
    </row>
    <row r="10" spans="1:16">
      <c r="A10" s="7" t="s">
        <v>112</v>
      </c>
      <c r="B10" s="2" t="s">
        <v>25</v>
      </c>
      <c r="C10" s="38">
        <f>Historia!B8</f>
        <v>56</v>
      </c>
      <c r="D10" s="38">
        <f>Historia!C8</f>
        <v>59</v>
      </c>
      <c r="E10" s="38">
        <f>Historia!D8</f>
        <v>63</v>
      </c>
      <c r="F10" s="15">
        <f>F6*F9</f>
        <v>64.9827</v>
      </c>
      <c r="G10" s="15">
        <f>G6*G9</f>
        <v>66.93218099999999</v>
      </c>
      <c r="H10" s="15">
        <f>H6*H9</f>
        <v>68.60548552499999</v>
      </c>
      <c r="I10" s="15">
        <f>I6*I9</f>
        <v>69.97759523549999</v>
      </c>
      <c r="J10" s="15">
        <f>J6*J9</f>
        <v>71.02725916403249</v>
      </c>
      <c r="K10" s="15">
        <f>K6*K9</f>
        <v>72.09266805149296</v>
      </c>
      <c r="L10" s="15">
        <f>L6*L9</f>
        <v>73.17405807226535</v>
      </c>
      <c r="M10" s="15">
        <f>M6*M9</f>
        <v>74.27166894334933</v>
      </c>
      <c r="N10" s="15">
        <f>N6*N9</f>
        <v>75.38574397749956</v>
      </c>
      <c r="O10" s="15">
        <f>O6*O9</f>
        <v>76.51653013716205</v>
      </c>
      <c r="P10" s="15">
        <f>P6*P9</f>
        <v>77.66427808921947</v>
      </c>
    </row>
    <row r="11" spans="1:16">
      <c r="A11" s="7" t="s">
        <v>114</v>
      </c>
      <c r="B11" s="2" t="s">
        <v>25</v>
      </c>
      <c r="C11" s="29">
        <f>IF(AND(ISNUMBER(C8),ISNUMBER(C10)),C8-C10,"n/d")</f>
        <v>130.0</v>
      </c>
      <c r="D11" s="29">
        <f>IF(AND(ISNUMBER(D8),ISNUMBER(D10)),D8-D10,"n/d")</f>
        <v>112.0</v>
      </c>
      <c r="E11" s="29">
        <f>IF(AND(ISNUMBER(E8),ISNUMBER(E10)),E8-E10,"n/d")</f>
        <v>133.0</v>
      </c>
      <c r="F11" s="15">
        <f>F8-F10</f>
        <v>122.74510000000001</v>
      </c>
      <c r="G11" s="15">
        <f>G8-G10</f>
        <v>118.990544</v>
      </c>
      <c r="H11" s="15">
        <f>H8-H10</f>
        <v>114.34247587499998</v>
      </c>
      <c r="I11" s="15">
        <f>I8-I10</f>
        <v>116.6293253925</v>
      </c>
      <c r="J11" s="15">
        <f>J8-J10</f>
        <v>118.37876527338746</v>
      </c>
      <c r="K11" s="15">
        <f>K8-K10</f>
        <v>120.15444675248828</v>
      </c>
      <c r="L11" s="15">
        <f>L8-L10</f>
        <v>121.95676345377561</v>
      </c>
      <c r="M11" s="15">
        <f>M8-M10</f>
        <v>123.78611490558224</v>
      </c>
      <c r="N11" s="15">
        <f>N8-N10</f>
        <v>125.64290662916595</v>
      </c>
      <c r="O11" s="15">
        <f>O8-O10</f>
        <v>127.52755022860342</v>
      </c>
      <c r="P11" s="15">
        <f>P8-P10</f>
        <v>129.44046348203244</v>
      </c>
    </row>
    <row r="12" spans="1:16">
      <c r="A12" s="7" t="s">
        <v>89</v>
      </c>
      <c r="B12" s="2" t="s">
        <v>136</v>
      </c>
      <c r="F12" s="33">
        <f>Zalozenia!C$50</f>
        <v>0.19</v>
      </c>
      <c r="G12" s="33">
        <f>Zalozenia!D$50</f>
        <v>0.19</v>
      </c>
      <c r="H12" s="33">
        <f>Zalozenia!E$50</f>
        <v>0.19</v>
      </c>
      <c r="I12" s="33">
        <f>Zalozenia!F$50</f>
        <v>0.19</v>
      </c>
      <c r="J12" s="33">
        <f>Zalozenia!G$50</f>
        <v>0.19</v>
      </c>
      <c r="K12" s="33">
        <f>Zalozenia!H$50</f>
        <v>0.19</v>
      </c>
      <c r="L12" s="33">
        <f>Zalozenia!I$50</f>
        <v>0.19</v>
      </c>
      <c r="M12" s="33">
        <f>Zalozenia!J$50</f>
        <v>0.19</v>
      </c>
      <c r="N12" s="33">
        <f>Zalozenia!K$50</f>
        <v>0.19</v>
      </c>
      <c r="O12" s="33">
        <f>Zalozenia!L$50</f>
        <v>0.19</v>
      </c>
      <c r="P12" s="33">
        <f>Zalozenia!$B$12</f>
        <v>0.19</v>
      </c>
    </row>
    <row r="13" spans="1:16">
      <c r="A13" s="7" t="s">
        <v>137</v>
      </c>
      <c r="B13" s="2" t="s">
        <v>25</v>
      </c>
      <c r="F13" s="15">
        <f>MAX(0,F11)*F12</f>
        <v>23.321569</v>
      </c>
      <c r="G13" s="15">
        <f>MAX(0,G11)*G12</f>
        <v>22.60820336</v>
      </c>
      <c r="H13" s="15">
        <f>MAX(0,H11)*H12</f>
        <v>21.725070416249995</v>
      </c>
      <c r="I13" s="15">
        <f>MAX(0,I11)*I12</f>
        <v>22.159571824575</v>
      </c>
      <c r="J13" s="15">
        <f>MAX(0,J11)*J12</f>
        <v>22.491965401943617</v>
      </c>
      <c r="K13" s="15">
        <f>MAX(0,K11)*K12</f>
        <v>22.829344882972773</v>
      </c>
      <c r="L13" s="15">
        <f>MAX(0,L11)*L12</f>
        <v>23.171785056217367</v>
      </c>
      <c r="M13" s="15">
        <f>MAX(0,M11)*M12</f>
        <v>23.519361832060625</v>
      </c>
      <c r="N13" s="15">
        <f>MAX(0,N11)*N12</f>
        <v>23.87215225954153</v>
      </c>
      <c r="O13" s="15">
        <f>MAX(0,O11)*O12</f>
        <v>24.230234543434648</v>
      </c>
      <c r="P13" s="15">
        <f>MAX(0,P11)*P12</f>
        <v>24.593688061586164</v>
      </c>
    </row>
    <row r="14" spans="1:16">
      <c r="A14" s="7" t="s">
        <v>138</v>
      </c>
      <c r="B14" s="2" t="s">
        <v>25</v>
      </c>
      <c r="F14" s="15">
        <f>F11-F13</f>
        <v>99.42353100000001</v>
      </c>
      <c r="G14" s="15">
        <f>G11-G13</f>
        <v>96.38234064</v>
      </c>
      <c r="H14" s="15">
        <f>H11-H13</f>
        <v>92.61740545874999</v>
      </c>
      <c r="I14" s="15">
        <f>I11-I13</f>
        <v>94.469753567925</v>
      </c>
      <c r="J14" s="15">
        <f>J11-J13</f>
        <v>95.88679987144384</v>
      </c>
      <c r="K14" s="15">
        <f>K11-K13</f>
        <v>97.3251018695155</v>
      </c>
      <c r="L14" s="15">
        <f>L11-L13</f>
        <v>98.78497839755823</v>
      </c>
      <c r="M14" s="15">
        <f>M11-M13</f>
        <v>100.26675307352161</v>
      </c>
      <c r="N14" s="15">
        <f>N11-N13</f>
        <v>101.77075436962443</v>
      </c>
      <c r="O14" s="15">
        <f>O11-O13</f>
        <v>103.29731568516877</v>
      </c>
      <c r="P14" s="15">
        <f>P11-P13</f>
        <v>104.84677542044628</v>
      </c>
    </row>
    <row r="15" spans="1:16">
      <c r="A15" s="7" t="s">
        <v>139</v>
      </c>
      <c r="B15" s="2" t="s">
        <v>25</v>
      </c>
      <c r="F15" s="15">
        <f>F10</f>
        <v>64.9827</v>
      </c>
      <c r="G15" s="15">
        <f>G10</f>
        <v>66.93218099999999</v>
      </c>
      <c r="H15" s="15">
        <f>H10</f>
        <v>68.60548552499999</v>
      </c>
      <c r="I15" s="15">
        <f>I10</f>
        <v>69.97759523549999</v>
      </c>
      <c r="J15" s="15">
        <f>J10</f>
        <v>71.02725916403249</v>
      </c>
      <c r="K15" s="15">
        <f>K10</f>
        <v>72.09266805149296</v>
      </c>
      <c r="L15" s="15">
        <f>L10</f>
        <v>73.17405807226535</v>
      </c>
      <c r="M15" s="15">
        <f>M10</f>
        <v>74.27166894334933</v>
      </c>
      <c r="N15" s="15">
        <f>N10</f>
        <v>75.38574397749956</v>
      </c>
      <c r="O15" s="15">
        <f>O10</f>
        <v>76.51653013716205</v>
      </c>
      <c r="P15" s="15">
        <f>P10</f>
        <v>77.66427808921947</v>
      </c>
    </row>
    <row r="16" spans="1:16">
      <c r="A16" s="7" t="s">
        <v>140</v>
      </c>
      <c r="B16" s="2" t="s">
        <v>25</v>
      </c>
      <c r="C16" s="38">
        <f>Historia!B12</f>
        <v>67</v>
      </c>
      <c r="D16" s="38">
        <f>Historia!C12</f>
        <v>70</v>
      </c>
      <c r="E16" s="38">
        <f>Historia!D12</f>
        <v>76</v>
      </c>
      <c r="F16" s="15">
        <f>F6*Zalozenia!C$48</f>
        <v>79.4233</v>
      </c>
      <c r="G16" s="15">
        <f>G6*Zalozenia!D$48</f>
        <v>81.805999</v>
      </c>
      <c r="H16" s="15">
        <f>H6*Zalozenia!E$48</f>
        <v>80.80201628499998</v>
      </c>
      <c r="I16" s="15">
        <f>I6*Zalozenia!F$48</f>
        <v>79.30794126689999</v>
      </c>
      <c r="J16" s="15">
        <f>J6*Zalozenia!G$48</f>
        <v>78.91917684892499</v>
      </c>
      <c r="K16" s="15">
        <f>K6*Zalozenia!H$48</f>
        <v>79.94275857265553</v>
      </c>
      <c r="L16" s="15">
        <f>L6*Zalozenia!I$48</f>
        <v>80.97929093330701</v>
      </c>
      <c r="M16" s="15">
        <f>M6*Zalozenia!J$48</f>
        <v>82.02893214409916</v>
      </c>
      <c r="N16" s="15">
        <f>N6*Zalozenia!K$48</f>
        <v>83.09184225075508</v>
      </c>
      <c r="O16" s="15">
        <f>O6*Zalozenia!L$48</f>
        <v>84.16818315087826</v>
      </c>
      <c r="P16" s="15">
        <f>P10*Zalozenia!$B$36</f>
        <v>85.43070589814141</v>
      </c>
    </row>
    <row r="17" spans="1:16">
      <c r="A17" s="7" t="s">
        <v>141</v>
      </c>
      <c r="B17" s="2" t="s">
        <v>25</v>
      </c>
      <c r="F17" s="15">
        <f>F6*Zalozenia!C$49</f>
        <v>0.0</v>
      </c>
      <c r="G17" s="15">
        <f>G6*Zalozenia!D$49</f>
        <v>0.0</v>
      </c>
      <c r="H17" s="15">
        <f>H6*Zalozenia!E$49</f>
        <v>0.0</v>
      </c>
      <c r="I17" s="15">
        <f>I6*Zalozenia!F$49</f>
        <v>0.0</v>
      </c>
      <c r="J17" s="15">
        <f>J6*Zalozenia!G$49</f>
        <v>0.0</v>
      </c>
      <c r="K17" s="15">
        <f>K6*Zalozenia!H$49</f>
        <v>0.0</v>
      </c>
      <c r="L17" s="15">
        <f>L6*Zalozenia!I$49</f>
        <v>0.0</v>
      </c>
      <c r="M17" s="15">
        <f>M6*Zalozenia!J$49</f>
        <v>0.0</v>
      </c>
      <c r="N17" s="15">
        <f>N6*Zalozenia!K$49</f>
        <v>0.0</v>
      </c>
      <c r="O17" s="15">
        <f>O6*Zalozenia!L$49</f>
        <v>0.0</v>
      </c>
      <c r="P17" s="15">
        <v>0</v>
      </c>
    </row>
    <row r="18" spans="1:16">
      <c r="A18" s="7" t="s">
        <v>142</v>
      </c>
      <c r="B18" s="2" t="s">
        <v>25</v>
      </c>
      <c r="F18" s="15">
        <f>Zalozenia!$B$35*(F6-E6)</f>
        <v>5.047199999999993</v>
      </c>
      <c r="G18" s="15">
        <f>Zalozenia!$B$35*(G6-F6)</f>
        <v>5.198615999999992</v>
      </c>
      <c r="H18" s="15">
        <f>Zalozenia!$B$35*(H6-G6)</f>
        <v>4.462145399999981</v>
      </c>
      <c r="I18" s="15">
        <f>Zalozenia!$B$35*(I6-H6)</f>
        <v>3.6589592280000125</v>
      </c>
      <c r="J18" s="15">
        <f>Zalozenia!$B$35*(J6-I6)</f>
        <v>2.799103809419985</v>
      </c>
      <c r="K18" s="15">
        <f>Zalozenia!$B$35*(K6-J6)</f>
        <v>2.841090366561293</v>
      </c>
      <c r="L18" s="15">
        <f>Zalozenia!$B$35*(L6-K6)</f>
        <v>2.8837067220597055</v>
      </c>
      <c r="M18" s="15">
        <f>Zalozenia!$B$35*(M6-L6)</f>
        <v>2.9269623228905948</v>
      </c>
      <c r="N18" s="15">
        <f>Zalozenia!$B$35*(N6-M6)</f>
        <v>2.970866757733947</v>
      </c>
      <c r="O18" s="15">
        <f>Zalozenia!$B$35*(O6-N6)</f>
        <v>3.0154297590999612</v>
      </c>
      <c r="P18" s="15">
        <f>Zalozenia!$B$35*(P6-O6)</f>
        <v>3.060661205486458</v>
      </c>
    </row>
    <row r="19" spans="1:16">
      <c r="A19" s="35" t="s">
        <v>143</v>
      </c>
      <c r="B19" s="2" t="s">
        <v>25</v>
      </c>
      <c r="F19" s="39">
        <f>F14+F15-F16-F17-F18</f>
        <v>79.935731</v>
      </c>
      <c r="G19" s="39">
        <f>G14+G15-G16-G17-G18</f>
        <v>76.30990664</v>
      </c>
      <c r="H19" s="39">
        <f>H14+H15-H16-H17-H18</f>
        <v>75.95872929875001</v>
      </c>
      <c r="I19" s="39">
        <f>I14+I15-I16-I17-I18</f>
        <v>81.48044830852497</v>
      </c>
      <c r="J19" s="39">
        <f>J14+J15-J16-J17-J18</f>
        <v>85.19577837713135</v>
      </c>
      <c r="K19" s="39">
        <f>K14+K15-K16-K17-K18</f>
        <v>86.63392098179165</v>
      </c>
      <c r="L19" s="39">
        <f>L14+L15-L16-L17-L18</f>
        <v>88.09603881445688</v>
      </c>
      <c r="M19" s="39">
        <f>M14+M15-M16-M17-M18</f>
        <v>89.58252754988118</v>
      </c>
      <c r="N19" s="39">
        <f>N14+N15-N16-N17-N18</f>
        <v>91.09378933863498</v>
      </c>
      <c r="O19" s="39">
        <f>O14+O15-O16-O17-O18</f>
        <v>92.6302329123526</v>
      </c>
      <c r="P19" s="39">
        <f>P14+P15-P16-P17-P18</f>
        <v>94.01968640603788</v>
      </c>
    </row>
    <row r="20" spans="1:16">
      <c r="A20" s="7" t="s">
        <v>144</v>
      </c>
      <c r="B20" s="2" t="s">
        <v>136</v>
      </c>
      <c r="F20" s="34">
        <f>F19/F6</f>
        <v>0.05535485436893205</v>
      </c>
      <c r="G20" s="34">
        <f>G19/G6</f>
        <v>0.05130485436893204</v>
      </c>
      <c r="H20" s="34">
        <f>H19/H6</f>
        <v>0.049823170731707334</v>
      </c>
      <c r="I20" s="34">
        <f>I19/I6</f>
        <v>0.0523970588235294</v>
      </c>
      <c r="J20" s="34">
        <f>J19/J6</f>
        <v>0.05397660098522167</v>
      </c>
      <c r="K20" s="34">
        <f>K19/K6</f>
        <v>0.05407660098522168</v>
      </c>
      <c r="L20" s="34">
        <f>L19/L6</f>
        <v>0.05417660098522167</v>
      </c>
      <c r="M20" s="34">
        <f>M19/M6</f>
        <v>0.05427660098522168</v>
      </c>
      <c r="N20" s="34">
        <f>N19/N6</f>
        <v>0.05437660098522171</v>
      </c>
      <c r="O20" s="34">
        <f>O19/O6</f>
        <v>0.05447660098522168</v>
      </c>
      <c r="P20" s="34">
        <f>P19/P6</f>
        <v>0.05447660098522169</v>
      </c>
    </row>
    <row r="22" spans="1:16">
      <c r="A22" s="3" t="s">
        <v>145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pans="1:16">
      <c r="A23" s="7" t="s">
        <v>53</v>
      </c>
      <c r="B23" s="2" t="s">
        <v>136</v>
      </c>
      <c r="C23" s="40">
        <f>Zalozenia!$B$24</f>
        <v>0.0950165</v>
      </c>
    </row>
    <row r="24" spans="1:16">
      <c r="A24" s="7" t="s">
        <v>146</v>
      </c>
      <c r="B24" s="2" t="s">
        <v>147</v>
      </c>
      <c r="C24" s="41">
        <f>Zalozenia!$B$58</f>
        <v>0.01</v>
      </c>
    </row>
    <row r="25" spans="1:16">
      <c r="A25" s="35" t="s">
        <v>148</v>
      </c>
      <c r="B25" s="2" t="s">
        <v>136</v>
      </c>
      <c r="C25" s="42">
        <f>C23+C24</f>
        <v>0.1050165</v>
      </c>
    </row>
    <row r="26" spans="1:16">
      <c r="A26" s="35" t="s">
        <v>99</v>
      </c>
      <c r="B26" s="2" t="s">
        <v>136</v>
      </c>
      <c r="C26" s="43">
        <f>Zalozenia!$B$59</f>
        <v>0.015</v>
      </c>
    </row>
    <row r="28" spans="1:16">
      <c r="A28" s="7" t="s">
        <v>149</v>
      </c>
      <c r="B28" s="2"/>
      <c r="F28" s="44">
        <f>MIN(1,MAX(0,(DATE(F4,12,31)-Zalozenia!$B$8)/365))</f>
        <v>0.25753424657534246</v>
      </c>
      <c r="G28" s="44">
        <v>1</v>
      </c>
      <c r="H28" s="44">
        <v>1</v>
      </c>
      <c r="I28" s="44">
        <v>1</v>
      </c>
      <c r="J28" s="44">
        <v>1</v>
      </c>
      <c r="K28" s="44">
        <v>1</v>
      </c>
      <c r="L28" s="44">
        <v>1</v>
      </c>
      <c r="M28" s="44">
        <v>1</v>
      </c>
      <c r="N28" s="44">
        <v>1</v>
      </c>
      <c r="O28" s="44">
        <v>1</v>
      </c>
    </row>
    <row r="29" spans="1:16">
      <c r="A29" s="7" t="s">
        <v>150</v>
      </c>
      <c r="B29" s="2" t="s">
        <v>151</v>
      </c>
      <c r="F29" s="44">
        <f>IF(Zalozenia!$B$38=1,F28/2,F28)</f>
        <v>0.12876712328767123</v>
      </c>
      <c r="G29" s="44">
        <f>$F$28+(G$4-$F$4)-IF(Zalozenia!$B$38=1,0.5,0)</f>
        <v>0.7575342465753425</v>
      </c>
      <c r="H29" s="44">
        <f>$F$28+(H$4-$F$4)-IF(Zalozenia!$B$38=1,0.5,0)</f>
        <v>1.7575342465753425</v>
      </c>
      <c r="I29" s="44">
        <f>$F$28+(I$4-$F$4)-IF(Zalozenia!$B$38=1,0.5,0)</f>
        <v>2.7575342465753425</v>
      </c>
      <c r="J29" s="44">
        <f>$F$28+(J$4-$F$4)-IF(Zalozenia!$B$38=1,0.5,0)</f>
        <v>3.757534246575342</v>
      </c>
      <c r="K29" s="44">
        <f>$F$28+(K$4-$F$4)-IF(Zalozenia!$B$38=1,0.5,0)</f>
        <v>4.757534246575342</v>
      </c>
      <c r="L29" s="44">
        <f>$F$28+(L$4-$F$4)-IF(Zalozenia!$B$38=1,0.5,0)</f>
        <v>5.757534246575342</v>
      </c>
      <c r="M29" s="44">
        <f>$F$28+(M$4-$F$4)-IF(Zalozenia!$B$38=1,0.5,0)</f>
        <v>6.757534246575342</v>
      </c>
      <c r="N29" s="44">
        <f>$F$28+(N$4-$F$4)-IF(Zalozenia!$B$38=1,0.5,0)</f>
        <v>7.757534246575343</v>
      </c>
      <c r="O29" s="44">
        <f>$F$28+(O$4-$F$4)-IF(Zalozenia!$B$38=1,0.5,0)</f>
        <v>8.757534246575343</v>
      </c>
    </row>
    <row r="30" spans="1:16">
      <c r="A30" s="7" t="s">
        <v>152</v>
      </c>
      <c r="B30" s="2"/>
      <c r="F30" s="45">
        <f>1/(1+$C$25)^F29</f>
        <v>0.9872236007992669</v>
      </c>
      <c r="G30" s="45">
        <f>1/(1+$C$25)^G29</f>
        <v>0.9271429000010317</v>
      </c>
      <c r="H30" s="45">
        <f>1/(1+$C$25)^H29</f>
        <v>0.8390308199027179</v>
      </c>
      <c r="I30" s="45">
        <f>1/(1+$C$25)^I29</f>
        <v>0.7592925715613458</v>
      </c>
      <c r="J30" s="45">
        <f>1/(1+$C$25)^J29</f>
        <v>0.6871323383509167</v>
      </c>
      <c r="K30" s="45">
        <f>1/(1+$C$25)^K29</f>
        <v>0.6218299349837009</v>
      </c>
      <c r="L30" s="45">
        <f>1/(1+$C$25)^L29</f>
        <v>0.5627336197999766</v>
      </c>
      <c r="M30" s="45">
        <f>1/(1+$C$25)^M29</f>
        <v>0.50925359014999</v>
      </c>
      <c r="N30" s="45">
        <f>1/(1+$C$25)^N29</f>
        <v>0.46085609594968946</v>
      </c>
      <c r="O30" s="45">
        <f>1/(1+$C$25)^O29</f>
        <v>0.4170581126613851</v>
      </c>
    </row>
    <row r="31" spans="1:16">
      <c r="A31" s="7" t="s">
        <v>153</v>
      </c>
      <c r="B31" s="2" t="s">
        <v>25</v>
      </c>
      <c r="F31" s="15">
        <f>F19*F28</f>
        <v>20.586188257534246</v>
      </c>
      <c r="G31" s="15">
        <f>G19*G28</f>
        <v>76.30990664</v>
      </c>
      <c r="H31" s="15">
        <f>H19*H28</f>
        <v>75.95872929875001</v>
      </c>
      <c r="I31" s="15">
        <f>I19*I28</f>
        <v>81.48044830852497</v>
      </c>
      <c r="J31" s="15">
        <f>J19*J28</f>
        <v>85.19577837713135</v>
      </c>
      <c r="K31" s="15">
        <f>K19*K28</f>
        <v>86.63392098179165</v>
      </c>
      <c r="L31" s="15">
        <f>L19*L28</f>
        <v>88.09603881445688</v>
      </c>
      <c r="M31" s="15">
        <f>M19*M28</f>
        <v>89.58252754988118</v>
      </c>
      <c r="N31" s="15">
        <f>N19*N28</f>
        <v>91.09378933863498</v>
      </c>
      <c r="O31" s="15">
        <f>O19*O28</f>
        <v>92.6302329123526</v>
      </c>
    </row>
    <row r="32" spans="1:16">
      <c r="A32" s="35" t="s">
        <v>154</v>
      </c>
      <c r="B32" s="2" t="s">
        <v>25</v>
      </c>
      <c r="F32" s="37">
        <f>F31*F30</f>
        <v>20.323170898334542</v>
      </c>
      <c r="G32" s="37">
        <f>G31*G30</f>
        <v>70.75018814101757</v>
      </c>
      <c r="H32" s="37">
        <f>H31*H30</f>
        <v>63.73171492229882</v>
      </c>
      <c r="I32" s="37">
        <f>I31*I30</f>
        <v>61.86749912815123</v>
      </c>
      <c r="J32" s="37">
        <f>J31*J30</f>
        <v>58.54077441390473</v>
      </c>
      <c r="K32" s="37">
        <f>K31*K30</f>
        <v>53.871565451490575</v>
      </c>
      <c r="L32" s="37">
        <f>L31*L30</f>
        <v>49.574602812098554</v>
      </c>
      <c r="M32" s="37">
        <f>M31*M30</f>
        <v>45.62022376948738</v>
      </c>
      <c r="N32" s="37">
        <f>N31*N30</f>
        <v>41.98112811986676</v>
      </c>
      <c r="O32" s="37">
        <f>O31*O30</f>
        <v>38.63219011381029</v>
      </c>
    </row>
    <row r="34" spans="1:16">
      <c r="A34" s="3" t="s">
        <v>155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</row>
    <row r="35" spans="1:16">
      <c r="A35" s="46" t="s">
        <v>156</v>
      </c>
      <c r="B35" s="2" t="s">
        <v>25</v>
      </c>
      <c r="C35" s="15">
        <f>P19</f>
        <v>94.01968640603788</v>
      </c>
    </row>
    <row r="36" spans="1:16">
      <c r="A36" s="46" t="s">
        <v>157</v>
      </c>
      <c r="B36" s="2"/>
      <c r="C36" s="45">
        <f>(P7-P9)*(1-Zalozenia!$B$12)+P9-Zalozenia!$B$36*P9</f>
        <v>0.056249999999999994</v>
      </c>
    </row>
    <row r="37" spans="1:16">
      <c r="A37" s="46" t="s">
        <v>158</v>
      </c>
      <c r="B37" s="2" t="s">
        <v>25</v>
      </c>
      <c r="C37" s="15">
        <f>C35/($C$25-$C$26)</f>
        <v>1044.4716958117442</v>
      </c>
    </row>
    <row r="38" spans="1:16">
      <c r="A38" s="46" t="s">
        <v>159</v>
      </c>
      <c r="B38" s="2"/>
      <c r="C38" s="45">
        <f>O30</f>
        <v>0.4170581126613851</v>
      </c>
    </row>
    <row r="39" spans="1:16">
      <c r="A39" s="35" t="s">
        <v>160</v>
      </c>
      <c r="B39" s="2" t="s">
        <v>25</v>
      </c>
      <c r="C39" s="39">
        <f>C37*C38</f>
        <v>435.60539418348236</v>
      </c>
    </row>
    <row r="40" spans="1:16">
      <c r="A40" s="46" t="s">
        <v>161</v>
      </c>
      <c r="B40" s="2" t="s">
        <v>162</v>
      </c>
      <c r="C40" s="47">
        <f>C37*(1+$C$25)^(0.5*Zalozenia!$B$38)/O8</f>
        <v>5.380926466849086</v>
      </c>
    </row>
    <row r="41" spans="1:16">
      <c r="A41" s="46" t="s">
        <v>163</v>
      </c>
      <c r="B41" s="2" t="s">
        <v>162</v>
      </c>
      <c r="C41" s="48">
        <f>Zalozenia!$B$39</f>
        <v>6.5</v>
      </c>
    </row>
    <row r="42" spans="1:16">
      <c r="A42" s="46" t="s">
        <v>164</v>
      </c>
      <c r="B42" s="2" t="s">
        <v>25</v>
      </c>
      <c r="C42" s="15">
        <f>C41*O8/(1+$C$25)^(O29+0.5*Zalozenia!$B$38)</f>
        <v>526.198430630226</v>
      </c>
    </row>
    <row r="43" spans="1:16">
      <c r="A43" s="46" t="s">
        <v>165</v>
      </c>
      <c r="B43" s="2" t="s">
        <v>136</v>
      </c>
      <c r="C43" s="28">
        <f>IF((P16+P17-P10+P18)&gt;0,$C$26*P14/(P16+P17-P10+P18),"n/d")</f>
        <v>0.14525618374558336</v>
      </c>
    </row>
    <row r="44" spans="1:16">
      <c r="A44" s="46" t="s">
        <v>166</v>
      </c>
      <c r="B44" s="2" t="s">
        <v>136</v>
      </c>
      <c r="C44" s="28">
        <f>IF((SUM(F16:N16)+SUM(F17:N17)-SUM(F10:N10)+SUM(F18:N18))&gt;0,(O11-F11)*(1-Zalozenia!$B$12)/(SUM(F16:N16)+SUM(F17:N17)-SUM(F10:N10)+SUM(F18:N18)),"n/d")</f>
        <v>0.03158649199031825</v>
      </c>
    </row>
    <row r="45" spans="1:16">
      <c r="A45" s="46" t="s">
        <v>167</v>
      </c>
      <c r="B45" s="2" t="s">
        <v>136</v>
      </c>
      <c r="C45" s="34">
        <f>SUM(K32:O32)/C50</f>
        <v>0.24421062021907636</v>
      </c>
    </row>
    <row r="47" spans="1:16">
      <c r="A47" s="3" t="s">
        <v>168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</row>
    <row r="48" spans="1:16">
      <c r="A48" s="46" t="s">
        <v>169</v>
      </c>
      <c r="B48" s="2" t="s">
        <v>25</v>
      </c>
      <c r="C48" s="15">
        <f>SUM(F32:O32)</f>
        <v>504.8930577704604</v>
      </c>
    </row>
    <row r="49" spans="1:16">
      <c r="A49" s="46" t="s">
        <v>170</v>
      </c>
      <c r="B49" s="2" t="s">
        <v>25</v>
      </c>
      <c r="C49" s="15">
        <f>C39</f>
        <v>435.60539418348236</v>
      </c>
    </row>
    <row r="50" spans="1:16">
      <c r="A50" s="35" t="s">
        <v>171</v>
      </c>
      <c r="B50" s="2" t="s">
        <v>25</v>
      </c>
      <c r="C50" s="39">
        <f>C48+C49</f>
        <v>940.4984519539428</v>
      </c>
    </row>
    <row r="51" spans="1:16">
      <c r="A51" s="46" t="s">
        <v>172</v>
      </c>
      <c r="B51" s="2" t="s">
        <v>136</v>
      </c>
      <c r="C51" s="34">
        <f>C49/C50</f>
        <v>0.4631643925393876</v>
      </c>
    </row>
    <row r="52" spans="1:16">
      <c r="A52" s="46" t="s">
        <v>173</v>
      </c>
      <c r="B52" s="2" t="s">
        <v>25</v>
      </c>
      <c r="C52" s="49">
        <f>Zalozenia!$B$32</f>
        <v>250.0</v>
      </c>
    </row>
    <row r="53" spans="1:16">
      <c r="A53" s="35" t="s">
        <v>174</v>
      </c>
      <c r="B53" s="2" t="s">
        <v>25</v>
      </c>
      <c r="C53" s="39">
        <f>C50-C52</f>
        <v>690.4984519539428</v>
      </c>
    </row>
    <row r="54" spans="1:16">
      <c r="A54" s="46" t="s">
        <v>175</v>
      </c>
      <c r="B54" s="2" t="s">
        <v>176</v>
      </c>
      <c r="C54" s="50">
        <f>Zalozenia!$B$10</f>
        <v>24.4</v>
      </c>
    </row>
    <row r="55" spans="1:16">
      <c r="A55" s="35" t="s">
        <v>177</v>
      </c>
      <c r="B55" s="2" t="s">
        <v>178</v>
      </c>
      <c r="C55" s="51">
        <f>C53/C54</f>
        <v>28.299116883358312</v>
      </c>
    </row>
    <row r="56" spans="1:16">
      <c r="A56" s="46" t="s">
        <v>179</v>
      </c>
      <c r="B56" s="2" t="s">
        <v>178</v>
      </c>
      <c r="C56" s="50">
        <f>Zalozenia!$B$9</f>
        <v>44</v>
      </c>
    </row>
    <row r="57" spans="1:16">
      <c r="A57" s="46" t="s">
        <v>180</v>
      </c>
      <c r="B57" s="2" t="s">
        <v>136</v>
      </c>
      <c r="C57" s="34">
        <f>C55/C56-1</f>
        <v>-0.3568382526509475</v>
      </c>
    </row>
    <row r="58" spans="1:16">
      <c r="A58" s="46" t="s">
        <v>181</v>
      </c>
      <c r="B58" s="2" t="s">
        <v>162</v>
      </c>
      <c r="C58" s="47">
        <f>C50/F8</f>
        <v>5.009905043120639</v>
      </c>
    </row>
    <row r="59" spans="1:16">
      <c r="A59" s="46" t="s">
        <v>182</v>
      </c>
      <c r="B59" s="2" t="s">
        <v>178</v>
      </c>
      <c r="C59" s="52">
        <f>(C48+C42-C52)/C54</f>
        <v>32.01194624592977</v>
      </c>
    </row>
    <row r="60" spans="1:16">
      <c r="A60" s="35" t="s">
        <v>183</v>
      </c>
      <c r="B60" s="2" t="s">
        <v>136</v>
      </c>
      <c r="C60" s="53">
        <f>IF(C56&gt;$B$80,"poniżej "&amp;SUBSTITUTE(ROUND($A$80*100,2)&amp;"%",".",","),IF(C56&lt;$B$128,"powyżej "&amp;SUBSTITUTE(ROUND($A$128*100,2)&amp;"%",".",","),INDEX($A$80:$A$128,MATCH(C56,$B$80:$B$128,-1))+(INDEX($B$80:$B$128,MATCH(C56,$B$80:$B$128,-1))-C56)/(INDEX($B$80:$B$128,MATCH(C56,$B$80:$B$128,-1))-INDEX($B$80:$B$128,MATCH(C56,$B$80:$B$128,-1)+1))*0.0025))</f>
        <v>0.07848632017394502</v>
      </c>
    </row>
    <row r="62" spans="1:16">
      <c r="A62" s="3" t="s">
        <v>184</v>
      </c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</row>
    <row r="63" spans="1:16">
      <c r="A63" s="54" t="s">
        <v>185</v>
      </c>
      <c r="C63" s="55">
        <f>$C$26+(-2)*Zalozenia!$B$42</f>
        <v>0.004999999999999999</v>
      </c>
      <c r="D63" s="55">
        <f>$C$26+(-1)*Zalozenia!$B$42</f>
        <v>0.009999999999999998</v>
      </c>
      <c r="E63" s="55">
        <f>$C$26+(0)*Zalozenia!$B$42</f>
        <v>0.015</v>
      </c>
      <c r="F63" s="55">
        <f>$C$26+(1)*Zalozenia!$B$42</f>
        <v>0.02</v>
      </c>
      <c r="G63" s="55">
        <f>$C$26+(2)*Zalozenia!$B$42</f>
        <v>0.025</v>
      </c>
    </row>
    <row r="64" spans="1:16">
      <c r="B64" s="55">
        <f>$C$25+(-2)*Zalozenia!$B$41</f>
        <v>0.0950165</v>
      </c>
      <c r="C64" s="56">
        <f>(SUMPRODUCT(($F$31:$O$31)/(1+$B64)^$F$29:$O$29)+$O$6*((1+C$63)*$C$36-Zalozenia!$B$35*C$63)/($B64-C$63)/(1+$B64)^$O$29-C52)/C54</f>
        <v>30.794380474808026</v>
      </c>
      <c r="D64" s="56">
        <f>(SUMPRODUCT(($F$31:$O$31)/(1+$B64)^$F$29:$O$29)+$O$6*((1+D$63)*$C$36-Zalozenia!$B$35*D$63)/($B64-D$63)/(1+$B64)^$O$29-C52)/C54</f>
        <v>31.82645324584385</v>
      </c>
      <c r="E64" s="56">
        <f>(SUMPRODUCT(($F$31:$O$31)/(1+$B64)^$F$29:$O$29)+$O$6*((1+E$63)*$C$36-Zalozenia!$B$35*E$63)/($B64-E$63)/(1+$B64)^$O$29-C52)/C54</f>
        <v>32.98750851061982</v>
      </c>
      <c r="F64" s="56">
        <f>(SUMPRODUCT(($F$31:$O$31)/(1+$B64)^$F$29:$O$29)+$O$6*((1+F$63)*$C$36-Zalozenia!$B$35*F$63)/($B64-F$63)/(1+$B64)^$O$29-C52)/C54</f>
        <v>34.303337093902535</v>
      </c>
      <c r="G64" s="56">
        <f>(SUMPRODUCT(($F$31:$O$31)/(1+$B64)^$F$29:$O$29)+$O$6*((1+G$63)*$C$36-Zalozenia!$B$35*G$63)/($B64-G$63)/(1+$B64)^$O$29-C52)/C54</f>
        <v>35.807096891010914</v>
      </c>
    </row>
    <row r="65" spans="1:16">
      <c r="B65" s="55">
        <f>$C$25+(-1)*Zalozenia!$B$41</f>
        <v>0.1000165</v>
      </c>
      <c r="C65" s="56">
        <f>(SUMPRODUCT(($F$31:$O$31)/(1+$B65)^$F$29:$O$29)+$O$6*((1+C$63)*$C$36-Zalozenia!$B$35*C$63)/($B65-C$63)/(1+$B65)^$O$29-C52)/C54</f>
        <v>28.63816400932963</v>
      </c>
      <c r="D65" s="56">
        <f>(SUMPRODUCT(($F$31:$O$31)/(1+$B65)^$F$29:$O$29)+$O$6*((1+D$63)*$C$36-Zalozenia!$B$35*D$63)/($B65-D$63)/(1+$B65)^$O$29-C52)/C54</f>
        <v>29.519863564433546</v>
      </c>
      <c r="E65" s="56">
        <f>(SUMPRODUCT(($F$31:$O$31)/(1+$B65)^$F$29:$O$29)+$O$6*((1+E$63)*$C$36-Zalozenia!$B$35*E$63)/($B65-E$63)/(1+$B65)^$O$29-C52)/C54</f>
        <v>30.50527234717021</v>
      </c>
      <c r="F65" s="56">
        <f>(SUMPRODUCT(($F$31:$O$31)/(1+$B65)^$F$29:$O$29)+$O$6*((1+F$63)*$C$36-Zalozenia!$B$35*F$63)/($B65-F$63)/(1+$B65)^$O$29-C52)/C54</f>
        <v>31.61383182791749</v>
      </c>
      <c r="G65" s="56">
        <f>(SUMPRODUCT(($F$31:$O$31)/(1+$B65)^$F$29:$O$29)+$O$6*((1+G$63)*$C$36-Zalozenia!$B$35*G$63)/($B65-G$63)/(1+$B65)^$O$29-C52)/C54</f>
        <v>32.87016672883865</v>
      </c>
    </row>
    <row r="66" spans="1:16">
      <c r="B66" s="55">
        <f>$C$25+(0)*Zalozenia!$B$41</f>
        <v>0.1050165</v>
      </c>
      <c r="C66" s="56">
        <f>(SUMPRODUCT(($F$31:$O$31)/(1+$B66)^$F$29:$O$29)+$O$6*((1+C$63)*$C$36-Zalozenia!$B$35*C$63)/($B66-C$63)/(1+$B66)^$O$29-C52)/C54</f>
        <v>26.699393318548097</v>
      </c>
      <c r="D66" s="56">
        <f>(SUMPRODUCT(($F$31:$O$31)/(1+$B66)^$F$29:$O$29)+$O$6*((1+D$63)*$C$36-Zalozenia!$B$35*D$63)/($B66-D$63)/(1+$B66)^$O$29-C52)/C54</f>
        <v>27.457164422891754</v>
      </c>
      <c r="E66" s="57">
        <f>(SUMPRODUCT(($F$31:$O$31)/(1+$B66)^$F$29:$O$29)+$O$6*((1+E$63)*$C$36-Zalozenia!$B$35*E$63)/($B66-E$63)/(1+$B66)^$O$29-C52)/C54</f>
        <v>28.29911688335831</v>
      </c>
      <c r="F66" s="56">
        <f>(SUMPRODUCT(($F$31:$O$31)/(1+$B66)^$F$29:$O$29)+$O$6*((1+F$63)*$C$36-Zalozenia!$B$35*F$63)/($B66-F$63)/(1+$B66)^$O$29-C52)/C54</f>
        <v>29.240103350219695</v>
      </c>
      <c r="G66" s="56">
        <f>(SUMPRODUCT(($F$31:$O$31)/(1+$B66)^$F$29:$O$29)+$O$6*((1+G$63)*$C$36-Zalozenia!$B$35*G$63)/($B66-G$63)/(1+$B66)^$O$29-C52)/C54</f>
        <v>30.298688870633946</v>
      </c>
    </row>
    <row r="67" spans="1:16">
      <c r="B67" s="55">
        <f>$C$25+(1)*Zalozenia!$B$41</f>
        <v>0.1100165</v>
      </c>
      <c r="C67" s="56">
        <f>(SUMPRODUCT(($F$31:$O$31)/(1+$B67)^$F$29:$O$29)+$O$6*((1+C$63)*$C$36-Zalozenia!$B$35*C$63)/($B67-C$63)/(1+$B67)^$O$29-C52)/C54</f>
        <v>24.94693994029253</v>
      </c>
      <c r="D67" s="56">
        <f>(SUMPRODUCT(($F$31:$O$31)/(1+$B67)^$F$29:$O$29)+$O$6*((1+D$63)*$C$36-Zalozenia!$B$35*D$63)/($B67-D$63)/(1+$B67)^$O$29-C52)/C54</f>
        <v>25.60173648656464</v>
      </c>
      <c r="E67" s="56">
        <f>(SUMPRODUCT(($F$31:$O$31)/(1+$B67)^$F$29:$O$29)+$O$6*((1+E$63)*$C$36-Zalozenia!$B$35*E$63)/($B67-E$63)/(1+$B67)^$O$29-C52)/C54</f>
        <v>26.325447015805196</v>
      </c>
      <c r="F67" s="56">
        <f>(SUMPRODUCT(($F$31:$O$31)/(1+$B67)^$F$29:$O$29)+$O$6*((1+F$63)*$C$36-Zalozenia!$B$35*F$63)/($B67-F$63)/(1+$B67)^$O$29-C52)/C54</f>
        <v>27.129555086523208</v>
      </c>
      <c r="G67" s="56">
        <f>(SUMPRODUCT(($F$31:$O$31)/(1+$B67)^$F$29:$O$29)+$O$6*((1+G$63)*$C$36-Zalozenia!$B$35*G$63)/($B67-G$63)/(1+$B67)^$O$29-C52)/C54</f>
        <v>28.02824574658775</v>
      </c>
    </row>
    <row r="68" spans="1:16">
      <c r="B68" s="55">
        <f>$C$25+(2)*Zalozenia!$B$41</f>
        <v>0.1150165</v>
      </c>
      <c r="C68" s="56">
        <f>(SUMPRODUCT(($F$31:$O$31)/(1+$B68)^$F$29:$O$29)+$O$6*((1+C$63)*$C$36-Zalozenia!$B$35*C$63)/($B68-C$63)/(1+$B68)^$O$29-C52)/C54</f>
        <v>23.35533724926637</v>
      </c>
      <c r="D68" s="56">
        <f>(SUMPRODUCT(($F$31:$O$31)/(1+$B68)^$F$29:$O$29)+$O$6*((1+D$63)*$C$36-Zalozenia!$B$35*D$63)/($B68-D$63)/(1+$B68)^$O$29-C52)/C54</f>
        <v>23.92393616535388</v>
      </c>
      <c r="E68" s="56">
        <f>(SUMPRODUCT(($F$31:$O$31)/(1+$B68)^$F$29:$O$29)+$O$6*((1+E$63)*$C$36-Zalozenia!$B$35*E$63)/($B68-E$63)/(1+$B68)^$O$29-C52)/C54</f>
        <v>24.549385592715783</v>
      </c>
      <c r="F68" s="56">
        <f>(SUMPRODUCT(($F$31:$O$31)/(1+$B68)^$F$29:$O$29)+$O$6*((1+F$63)*$C$36-Zalozenia!$B$35*F$63)/($B68-F$63)/(1+$B68)^$O$29-C52)/C54</f>
        <v>25.24066036908148</v>
      </c>
      <c r="G68" s="56">
        <f>(SUMPRODUCT(($F$31:$O$31)/(1+$B68)^$F$29:$O$29)+$O$6*((1+G$63)*$C$36-Zalozenia!$B$35*G$63)/($B68-G$63)/(1+$B68)^$O$29-C52)/C54</f>
        <v>26.00872937499017</v>
      </c>
    </row>
    <row r="70" spans="1:16">
      <c r="A70" s="3" t="s">
        <v>186</v>
      </c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</row>
    <row r="71" spans="1:16">
      <c r="A71" s="54" t="s">
        <v>187</v>
      </c>
      <c r="C71" s="58">
        <f>(-2)*Zalozenia!$B$43</f>
        <v>-0.02</v>
      </c>
      <c r="D71" s="58">
        <f>(-1)*Zalozenia!$B$43</f>
        <v>-0.01</v>
      </c>
      <c r="E71" s="58">
        <f>(0)*Zalozenia!$B$43</f>
        <v>0.0</v>
      </c>
      <c r="F71" s="58">
        <f>(1)*Zalozenia!$B$43</f>
        <v>0.01</v>
      </c>
      <c r="G71" s="58">
        <f>(2)*Zalozenia!$B$43</f>
        <v>0.02</v>
      </c>
    </row>
    <row r="72" spans="1:16">
      <c r="B72" s="55">
        <f>$C$25+(-2)*Zalozenia!$B$41</f>
        <v>0.0950165</v>
      </c>
      <c r="C72" s="56">
        <f>(SUMPRODUCT(($F$31:$O$31+C$71*$F$6:$O$6*(1-$F$12:$O$12)*$F$28:$O$28)/(1+$B72)^$F$29:$O$29)+$O$6*((1+$C$26)*($C$36+C$71*(1-Zalozenia!$B$12))-Zalozenia!$B$35*$C$26)/($B72-$C$26)/(1+$B72)^$O$29-C52)/C54</f>
        <v>19.95819308799664</v>
      </c>
      <c r="D72" s="56">
        <f>(SUMPRODUCT(($F$31:$O$31+D$71*$F$6:$O$6*(1-$F$12:$O$12)*$F$28:$O$28)/(1+$B72)^$F$29:$O$29)+$O$6*((1+$C$26)*($C$36+D$71*(1-Zalozenia!$B$12))-Zalozenia!$B$35*$C$26)/($B72-$C$26)/(1+$B72)^$O$29-C52)/C54</f>
        <v>26.472850799308233</v>
      </c>
      <c r="E72" s="56">
        <f>(SUMPRODUCT(($F$31:$O$31+E$71*$F$6:$O$6*(1-$F$12:$O$12)*$F$28:$O$28)/(1+$B72)^$F$29:$O$29)+$O$6*((1+$C$26)*($C$36+E$71*(1-Zalozenia!$B$12))-Zalozenia!$B$35*$C$26)/($B72-$C$26)/(1+$B72)^$O$29-C52)/C54</f>
        <v>32.98750851061982</v>
      </c>
      <c r="F72" s="56">
        <f>(SUMPRODUCT(($F$31:$O$31+F$71*$F$6:$O$6*(1-$F$12:$O$12)*$F$28:$O$28)/(1+$B72)^$F$29:$O$29)+$O$6*((1+$C$26)*($C$36+F$71*(1-Zalozenia!$B$12))-Zalozenia!$B$35*$C$26)/($B72-$C$26)/(1+$B72)^$O$29-C52)/C54</f>
        <v>39.50216622193142</v>
      </c>
      <c r="G72" s="56">
        <f>(SUMPRODUCT(($F$31:$O$31+G$71*$F$6:$O$6*(1-$F$12:$O$12)*$F$28:$O$28)/(1+$B72)^$F$29:$O$29)+$O$6*((1+$C$26)*($C$36+G$71*(1-Zalozenia!$B$12))-Zalozenia!$B$35*$C$26)/($B72-$C$26)/(1+$B72)^$O$29-C52)/C54</f>
        <v>46.016823933243</v>
      </c>
    </row>
    <row r="73" spans="1:16">
      <c r="B73" s="55">
        <f>$C$25+(-1)*Zalozenia!$B$41</f>
        <v>0.1000165</v>
      </c>
      <c r="C73" s="56">
        <f>(SUMPRODUCT(($F$31:$O$31+C$71*$F$6:$O$6*(1-$F$12:$O$12)*$F$28:$O$28)/(1+$B73)^$F$29:$O$29)+$O$6*((1+$C$26)*($C$36+C$71*(1-Zalozenia!$B$12))-Zalozenia!$B$35*$C$26)/($B73-$C$26)/(1+$B73)^$O$29-C52)/C54</f>
        <v>18.21568358045877</v>
      </c>
      <c r="D73" s="56">
        <f>(SUMPRODUCT(($F$31:$O$31+D$71*$F$6:$O$6*(1-$F$12:$O$12)*$F$28:$O$28)/(1+$B73)^$F$29:$O$29)+$O$6*((1+$C$26)*($C$36+D$71*(1-Zalozenia!$B$12))-Zalozenia!$B$35*$C$26)/($B73-$C$26)/(1+$B73)^$O$29-C52)/C54</f>
        <v>24.360477963814485</v>
      </c>
      <c r="E73" s="56">
        <f>(SUMPRODUCT(($F$31:$O$31+E$71*$F$6:$O$6*(1-$F$12:$O$12)*$F$28:$O$28)/(1+$B73)^$F$29:$O$29)+$O$6*((1+$C$26)*($C$36+E$71*(1-Zalozenia!$B$12))-Zalozenia!$B$35*$C$26)/($B73-$C$26)/(1+$B73)^$O$29-C52)/C54</f>
        <v>30.50527234717021</v>
      </c>
      <c r="F73" s="56">
        <f>(SUMPRODUCT(($F$31:$O$31+F$71*$F$6:$O$6*(1-$F$12:$O$12)*$F$28:$O$28)/(1+$B73)^$F$29:$O$29)+$O$6*((1+$C$26)*($C$36+F$71*(1-Zalozenia!$B$12))-Zalozenia!$B$35*$C$26)/($B73-$C$26)/(1+$B73)^$O$29-C52)/C54</f>
        <v>36.650066730525936</v>
      </c>
      <c r="G73" s="56">
        <f>(SUMPRODUCT(($F$31:$O$31+G$71*$F$6:$O$6*(1-$F$12:$O$12)*$F$28:$O$28)/(1+$B73)^$F$29:$O$29)+$O$6*((1+$C$26)*($C$36+G$71*(1-Zalozenia!$B$12))-Zalozenia!$B$35*$C$26)/($B73-$C$26)/(1+$B73)^$O$29-C52)/C54</f>
        <v>42.79486111388166</v>
      </c>
    </row>
    <row r="74" spans="1:16">
      <c r="B74" s="55">
        <f>$C$25+(0)*Zalozenia!$B$41</f>
        <v>0.1050165</v>
      </c>
      <c r="C74" s="56">
        <f>(SUMPRODUCT(($F$31:$O$31+C$71*$F$6:$O$6*(1-$F$12:$O$12)*$F$28:$O$28)/(1+$B74)^$F$29:$O$29)+$O$6*((1+$C$26)*($C$36+C$71*(1-Zalozenia!$B$12))-Zalozenia!$B$35*$C$26)/($B74-$C$26)/(1+$B74)^$O$29-C52)/C54</f>
        <v>16.667128190879122</v>
      </c>
      <c r="D74" s="56">
        <f>(SUMPRODUCT(($F$31:$O$31+D$71*$F$6:$O$6*(1-$F$12:$O$12)*$F$28:$O$28)/(1+$B74)^$F$29:$O$29)+$O$6*((1+$C$26)*($C$36+D$71*(1-Zalozenia!$B$12))-Zalozenia!$B$35*$C$26)/($B74-$C$26)/(1+$B74)^$O$29-C52)/C54</f>
        <v>22.48312253711871</v>
      </c>
      <c r="E74" s="57">
        <f>(SUMPRODUCT(($F$31:$O$31+E$71*$F$6:$O$6*(1-$F$12:$O$12)*$F$28:$O$28)/(1+$B74)^$F$29:$O$29)+$O$6*((1+$C$26)*($C$36+E$71*(1-Zalozenia!$B$12))-Zalozenia!$B$35*$C$26)/($B74-$C$26)/(1+$B74)^$O$29-C52)/C54</f>
        <v>28.29911688335831</v>
      </c>
      <c r="F74" s="56">
        <f>(SUMPRODUCT(($F$31:$O$31+F$71*$F$6:$O$6*(1-$F$12:$O$12)*$F$28:$O$28)/(1+$B74)^$F$29:$O$29)+$O$6*((1+$C$26)*($C$36+F$71*(1-Zalozenia!$B$12))-Zalozenia!$B$35*$C$26)/($B74-$C$26)/(1+$B74)^$O$29-C52)/C54</f>
        <v>34.11511122959791</v>
      </c>
      <c r="G74" s="56">
        <f>(SUMPRODUCT(($F$31:$O$31+G$71*$F$6:$O$6*(1-$F$12:$O$12)*$F$28:$O$28)/(1+$B74)^$F$29:$O$29)+$O$6*((1+$C$26)*($C$36+G$71*(1-Zalozenia!$B$12))-Zalozenia!$B$35*$C$26)/($B74-$C$26)/(1+$B74)^$O$29-C52)/C54</f>
        <v>39.931105575837506</v>
      </c>
    </row>
    <row r="75" spans="1:16">
      <c r="B75" s="55">
        <f>$C$25+(1)*Zalozenia!$B$41</f>
        <v>0.1100165</v>
      </c>
      <c r="C75" s="56">
        <f>(SUMPRODUCT(($F$31:$O$31+C$71*$F$6:$O$6*(1-$F$12:$O$12)*$F$28:$O$28)/(1+$B75)^$F$29:$O$29)+$O$6*((1+$C$26)*($C$36+C$71*(1-Zalozenia!$B$12))-Zalozenia!$B$35*$C$26)/($B75-$C$26)/(1+$B75)^$O$29-C52)/C54</f>
        <v>15.281896599289256</v>
      </c>
      <c r="D75" s="56">
        <f>(SUMPRODUCT(($F$31:$O$31+D$71*$F$6:$O$6*(1-$F$12:$O$12)*$F$28:$O$28)/(1+$B75)^$F$29:$O$29)+$O$6*((1+$C$26)*($C$36+D$71*(1-Zalozenia!$B$12))-Zalozenia!$B$35*$C$26)/($B75-$C$26)/(1+$B75)^$O$29-C52)/C54</f>
        <v>20.80367180754722</v>
      </c>
      <c r="E75" s="56">
        <f>(SUMPRODUCT(($F$31:$O$31+E$71*$F$6:$O$6*(1-$F$12:$O$12)*$F$28:$O$28)/(1+$B75)^$F$29:$O$29)+$O$6*((1+$C$26)*($C$36+E$71*(1-Zalozenia!$B$12))-Zalozenia!$B$35*$C$26)/($B75-$C$26)/(1+$B75)^$O$29-C52)/C54</f>
        <v>26.325447015805196</v>
      </c>
      <c r="F75" s="56">
        <f>(SUMPRODUCT(($F$31:$O$31+F$71*$F$6:$O$6*(1-$F$12:$O$12)*$F$28:$O$28)/(1+$B75)^$F$29:$O$29)+$O$6*((1+$C$26)*($C$36+F$71*(1-Zalozenia!$B$12))-Zalozenia!$B$35*$C$26)/($B75-$C$26)/(1+$B75)^$O$29-C52)/C54</f>
        <v>31.847222224063163</v>
      </c>
      <c r="G75" s="56">
        <f>(SUMPRODUCT(($F$31:$O$31+G$71*$F$6:$O$6*(1-$F$12:$O$12)*$F$28:$O$28)/(1+$B75)^$F$29:$O$29)+$O$6*((1+$C$26)*($C$36+G$71*(1-Zalozenia!$B$12))-Zalozenia!$B$35*$C$26)/($B75-$C$26)/(1+$B75)^$O$29-C52)/C54</f>
        <v>37.36899743232113</v>
      </c>
    </row>
    <row r="76" spans="1:16">
      <c r="B76" s="55">
        <f>$C$25+(2)*Zalozenia!$B$41</f>
        <v>0.1150165</v>
      </c>
      <c r="C76" s="56">
        <f>(SUMPRODUCT(($F$31:$O$31+C$71*$F$6:$O$6*(1-$F$12:$O$12)*$F$28:$O$28)/(1+$B76)^$F$29:$O$29)+$O$6*((1+$C$26)*($C$36+C$71*(1-Zalozenia!$B$12))-Zalozenia!$B$35*$C$26)/($B76-$C$26)/(1+$B76)^$O$29-C52)/C54</f>
        <v>14.035483911401391</v>
      </c>
      <c r="D76" s="56">
        <f>(SUMPRODUCT(($F$31:$O$31+D$71*$F$6:$O$6*(1-$F$12:$O$12)*$F$28:$O$28)/(1+$B76)^$F$29:$O$29)+$O$6*((1+$C$26)*($C$36+D$71*(1-Zalozenia!$B$12))-Zalozenia!$B$35*$C$26)/($B76-$C$26)/(1+$B76)^$O$29-C52)/C54</f>
        <v>19.292434752058586</v>
      </c>
      <c r="E76" s="56">
        <f>(SUMPRODUCT(($F$31:$O$31+E$71*$F$6:$O$6*(1-$F$12:$O$12)*$F$28:$O$28)/(1+$B76)^$F$29:$O$29)+$O$6*((1+$C$26)*($C$36+E$71*(1-Zalozenia!$B$12))-Zalozenia!$B$35*$C$26)/($B76-$C$26)/(1+$B76)^$O$29-C52)/C54</f>
        <v>24.549385592715783</v>
      </c>
      <c r="F76" s="56">
        <f>(SUMPRODUCT(($F$31:$O$31+F$71*$F$6:$O$6*(1-$F$12:$O$12)*$F$28:$O$28)/(1+$B76)^$F$29:$O$29)+$O$6*((1+$C$26)*($C$36+F$71*(1-Zalozenia!$B$12))-Zalozenia!$B$35*$C$26)/($B76-$C$26)/(1+$B76)^$O$29-C52)/C54</f>
        <v>29.806336433372973</v>
      </c>
      <c r="G76" s="56">
        <f>(SUMPRODUCT(($F$31:$O$31+G$71*$F$6:$O$6*(1-$F$12:$O$12)*$F$28:$O$28)/(1+$B76)^$F$29:$O$29)+$O$6*((1+$C$26)*($C$36+G$71*(1-Zalozenia!$B$12))-Zalozenia!$B$35*$C$26)/($B76-$C$26)/(1+$B76)^$O$29-C52)/C54</f>
        <v>35.063287274030166</v>
      </c>
    </row>
    <row r="78" spans="1:16">
      <c r="A78" s="3" t="s">
        <v>188</v>
      </c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</row>
    <row r="79" spans="1:16">
      <c r="A79" s="35" t="s">
        <v>189</v>
      </c>
      <c r="B79" s="35" t="s">
        <v>190</v>
      </c>
    </row>
    <row r="80" spans="1:16">
      <c r="A80" s="59">
        <f>$C$26+0.005+0.0025*0</f>
        <v>0.02</v>
      </c>
      <c r="B80" s="52">
        <f>(SUMPRODUCT(($F$31:$O$31)/(1+$A80)^$F$29:$O$29)+$O$6*((1+$C$26)*$C$36-Zalozenia!$B$35*$C$26)/($A80-$C$26)/(1+$A80)^$O$29-C52)/C54</f>
        <v>667.0959739753068</v>
      </c>
    </row>
    <row r="81" spans="1:2">
      <c r="A81" s="59">
        <f>$C$26+0.005+0.0025*1</f>
        <v>0.0225</v>
      </c>
      <c r="B81" s="52">
        <f>(SUMPRODUCT(($F$31:$O$31)/(1+$A81)^$F$29:$O$29)+$O$6*((1+$C$26)*$C$36-Zalozenia!$B$35*$C$26)/($A81-$C$26)/(1+$A81)^$O$29-C52)/C54</f>
        <v>441.61701906421024</v>
      </c>
    </row>
    <row r="82" spans="1:2">
      <c r="A82" s="59">
        <f>$C$26+0.005+0.0025*2</f>
        <v>0.025</v>
      </c>
      <c r="B82" s="52">
        <f>(SUMPRODUCT(($F$31:$O$31)/(1+$A82)^$F$29:$O$29)+$O$6*((1+$C$26)*$C$36-Zalozenia!$B$35*$C$26)/($A82-$C$26)/(1+$A82)^$O$29-C52)/C54</f>
        <v>328.87883653321694</v>
      </c>
    </row>
    <row r="83" spans="1:2">
      <c r="A83" s="59">
        <f>$C$26+0.005+0.0025*3</f>
        <v>0.0275</v>
      </c>
      <c r="B83" s="52">
        <f>(SUMPRODUCT(($F$31:$O$31)/(1+$A83)^$F$29:$O$29)+$O$6*((1+$C$26)*$C$36-Zalozenia!$B$35*$C$26)/($A83-$C$26)/(1+$A83)^$O$29-C52)/C54</f>
        <v>261.23694396858895</v>
      </c>
    </row>
    <row r="84" spans="1:2">
      <c r="A84" s="59">
        <f>$C$26+0.005+0.0025*4</f>
        <v>0.03</v>
      </c>
      <c r="B84" s="52">
        <f>(SUMPRODUCT(($F$31:$O$31)/(1+$A84)^$F$29:$O$29)+$O$6*((1+$C$26)*$C$36-Zalozenia!$B$35*$C$26)/($A84-$C$26)/(1+$A84)^$O$29-C52)/C54</f>
        <v>216.1431808784811</v>
      </c>
    </row>
    <row r="85" spans="1:2">
      <c r="A85" s="59">
        <f>$C$26+0.005+0.0025*5</f>
        <v>0.0325</v>
      </c>
      <c r="B85" s="52">
        <f>(SUMPRODUCT(($F$31:$O$31)/(1+$A85)^$F$29:$O$29)+$O$6*((1+$C$26)*$C$36-Zalozenia!$B$35*$C$26)/($A85-$C$26)/(1+$A85)^$O$29-C52)/C54</f>
        <v>183.9340501711156</v>
      </c>
    </row>
    <row r="86" spans="1:2">
      <c r="A86" s="59">
        <f>$C$26+0.005+0.0025*6</f>
        <v>0.035</v>
      </c>
      <c r="B86" s="52">
        <f>(SUMPRODUCT(($F$31:$O$31)/(1+$A86)^$F$29:$O$29)+$O$6*((1+$C$26)*$C$36-Zalozenia!$B$35*$C$26)/($A86-$C$26)/(1+$A86)^$O$29-C52)/C54</f>
        <v>159.77780352447203</v>
      </c>
    </row>
    <row r="87" spans="1:2">
      <c r="A87" s="59">
        <f>$C$26+0.005+0.0025*7</f>
        <v>0.037500000000000006</v>
      </c>
      <c r="B87" s="52">
        <f>(SUMPRODUCT(($F$31:$O$31)/(1+$A87)^$F$29:$O$29)+$O$6*((1+$C$26)*$C$36-Zalozenia!$B$35*$C$26)/($A87-$C$26)/(1+$A87)^$O$29-C52)/C54</f>
        <v>140.9901365096387</v>
      </c>
    </row>
    <row r="88" spans="1:2">
      <c r="A88" s="59">
        <f>$C$26+0.005+0.0025*8</f>
        <v>0.04</v>
      </c>
      <c r="B88" s="52">
        <f>(SUMPRODUCT(($F$31:$O$31)/(1+$A88)^$F$29:$O$29)+$O$6*((1+$C$26)*$C$36-Zalozenia!$B$35*$C$26)/($A88-$C$26)/(1+$A88)^$O$29-C52)/C54</f>
        <v>125.96046664026235</v>
      </c>
    </row>
    <row r="89" spans="1:2">
      <c r="A89" s="59">
        <f>$C$26+0.005+0.0025*9</f>
        <v>0.042499999999999996</v>
      </c>
      <c r="B89" s="52">
        <f>(SUMPRODUCT(($F$31:$O$31)/(1+$A89)^$F$29:$O$29)+$O$6*((1+$C$26)*$C$36-Zalozenia!$B$35*$C$26)/($A89-$C$26)/(1+$A89)^$O$29-C52)/C54</f>
        <v>113.66387794057306</v>
      </c>
    </row>
    <row r="90" spans="1:2">
      <c r="A90" s="59">
        <f>$C$26+0.005+0.0025*10</f>
        <v>0.045</v>
      </c>
      <c r="B90" s="52">
        <f>(SUMPRODUCT(($F$31:$O$31)/(1+$A90)^$F$29:$O$29)+$O$6*((1+$C$26)*$C$36-Zalozenia!$B$35*$C$26)/($A90-$C$26)/(1+$A90)^$O$29-C52)/C54</f>
        <v>103.41709322948262</v>
      </c>
    </row>
    <row r="91" spans="1:2">
      <c r="A91" s="59">
        <f>$C$26+0.005+0.0025*11</f>
        <v>0.0475</v>
      </c>
      <c r="B91" s="52">
        <f>(SUMPRODUCT(($F$31:$O$31)/(1+$A91)^$F$29:$O$29)+$O$6*((1+$C$26)*$C$36-Zalozenia!$B$35*$C$26)/($A91-$C$26)/(1+$A91)^$O$29-C52)/C54</f>
        <v>94.74707458132839</v>
      </c>
    </row>
    <row r="92" spans="1:2">
      <c r="A92" s="59">
        <f>$C$26+0.005+0.0025*12</f>
        <v>0.05</v>
      </c>
      <c r="B92" s="52">
        <f>(SUMPRODUCT(($F$31:$O$31)/(1+$A92)^$F$29:$O$29)+$O$6*((1+$C$26)*$C$36-Zalozenia!$B$35*$C$26)/($A92-$C$26)/(1+$A92)^$O$29-C52)/C54</f>
        <v>87.31593787493846</v>
      </c>
    </row>
    <row r="93" spans="1:2">
      <c r="A93" s="59">
        <f>$C$26+0.005+0.0025*13</f>
        <v>0.052500000000000005</v>
      </c>
      <c r="B93" s="52">
        <f>(SUMPRODUCT(($F$31:$O$31)/(1+$A93)^$F$29:$O$29)+$O$6*((1+$C$26)*$C$36-Zalozenia!$B$35*$C$26)/($A93-$C$26)/(1+$A93)^$O$29-C52)/C54</f>
        <v>80.87590152313128</v>
      </c>
    </row>
    <row r="94" spans="1:2">
      <c r="A94" s="59">
        <f>$C$26+0.005+0.0025*14</f>
        <v>0.05500000000000001</v>
      </c>
      <c r="B94" s="52">
        <f>(SUMPRODUCT(($F$31:$O$31)/(1+$A94)^$F$29:$O$29)+$O$6*((1+$C$26)*$C$36-Zalozenia!$B$35*$C$26)/($A94-$C$26)/(1+$A94)^$O$29-C52)/C54</f>
        <v>75.24112942871109</v>
      </c>
    </row>
    <row r="95" spans="1:2">
      <c r="A95" s="59">
        <f>$C$26+0.005+0.0025*15</f>
        <v>0.057499999999999996</v>
      </c>
      <c r="B95" s="52">
        <f>(SUMPRODUCT(($F$31:$O$31)/(1+$A95)^$F$29:$O$29)+$O$6*((1+$C$26)*$C$36-Zalozenia!$B$35*$C$26)/($A95-$C$26)/(1+$A95)^$O$29-C52)/C54</f>
        <v>70.26951172075054</v>
      </c>
    </row>
    <row r="96" spans="1:2">
      <c r="A96" s="59">
        <f>$C$26+0.005+0.0025*16</f>
        <v>0.06</v>
      </c>
      <c r="B96" s="52">
        <f>(SUMPRODUCT(($F$31:$O$31)/(1+$A96)^$F$29:$O$29)+$O$6*((1+$C$26)*$C$36-Zalozenia!$B$35*$C$26)/($A96-$C$26)/(1+$A96)^$O$29-C52)/C54</f>
        <v>65.85051857882722</v>
      </c>
    </row>
    <row r="97" spans="1:2">
      <c r="A97" s="59">
        <f>$C$26+0.005+0.0025*17</f>
        <v>0.0625</v>
      </c>
      <c r="B97" s="52">
        <f>(SUMPRODUCT(($F$31:$O$31)/(1+$A97)^$F$29:$O$29)+$O$6*((1+$C$26)*$C$36-Zalozenia!$B$35*$C$26)/($A97-$C$26)/(1+$A97)^$O$29-C52)/C54</f>
        <v>61.8968896917544</v>
      </c>
    </row>
    <row r="98" spans="1:2">
      <c r="A98" s="59">
        <f>$C$26+0.005+0.0025*18</f>
        <v>0.065</v>
      </c>
      <c r="B98" s="52">
        <f>(SUMPRODUCT(($F$31:$O$31)/(1+$A98)^$F$29:$O$29)+$O$6*((1+$C$26)*$C$36-Zalozenia!$B$35*$C$26)/($A98-$C$26)/(1+$A98)^$O$29-C52)/C54</f>
        <v>58.338816878733454</v>
      </c>
    </row>
    <row r="99" spans="1:2">
      <c r="A99" s="59">
        <f>$C$26+0.005+0.0025*19</f>
        <v>0.0675</v>
      </c>
      <c r="B99" s="52">
        <f>(SUMPRODUCT(($F$31:$O$31)/(1+$A99)^$F$29:$O$29)+$O$6*((1+$C$26)*$C$36-Zalozenia!$B$35*$C$26)/($A99-$C$26)/(1+$A99)^$O$29-C52)/C54</f>
        <v>55.11978881878528</v>
      </c>
    </row>
    <row r="100" spans="1:2">
      <c r="A100" s="59">
        <f>$C$26+0.005+0.0025*20</f>
        <v>0.07</v>
      </c>
      <c r="B100" s="52">
        <f>(SUMPRODUCT(($F$31:$O$31)/(1+$A100)^$F$29:$O$29)+$O$6*((1+$C$26)*$C$36-Zalozenia!$B$35*$C$26)/($A100-$C$26)/(1+$A100)^$O$29-C52)/C54</f>
        <v>52.19356903582569</v>
      </c>
    </row>
    <row r="101" spans="1:2">
      <c r="A101" s="59">
        <f>$C$26+0.005+0.0025*21</f>
        <v>0.0725</v>
      </c>
      <c r="B101" s="52">
        <f>(SUMPRODUCT(($F$31:$O$31)/(1+$A101)^$F$29:$O$29)+$O$6*((1+$C$26)*$C$36-Zalozenia!$B$35*$C$26)/($A101-$C$26)/(1+$A101)^$O$29-C52)/C54</f>
        <v>49.521962235492694</v>
      </c>
    </row>
    <row r="102" spans="1:2">
      <c r="A102" s="59">
        <f>$C$26+0.005+0.0025*22</f>
        <v>0.075</v>
      </c>
      <c r="B102" s="52">
        <f>(SUMPRODUCT(($F$31:$O$31)/(1+$A102)^$F$29:$O$29)+$O$6*((1+$C$26)*$C$36-Zalozenia!$B$35*$C$26)/($A102-$C$26)/(1+$A102)^$O$29-C52)/C54</f>
        <v>47.073139057796034</v>
      </c>
    </row>
    <row r="103" spans="1:2">
      <c r="A103" s="59">
        <f>$C$26+0.005+0.0025*23</f>
        <v>0.0775</v>
      </c>
      <c r="B103" s="52">
        <f>(SUMPRODUCT(($F$31:$O$31)/(1+$A103)^$F$29:$O$29)+$O$6*((1+$C$26)*$C$36-Zalozenia!$B$35*$C$26)/($A103-$C$26)/(1+$A103)^$O$29-C52)/C54</f>
        <v>44.820362889159384</v>
      </c>
    </row>
    <row r="104" spans="1:2">
      <c r="A104" s="59">
        <f>$C$26+0.005+0.0025*24</f>
        <v>0.08</v>
      </c>
      <c r="B104" s="52">
        <f>(SUMPRODUCT(($F$31:$O$31)/(1+$A104)^$F$29:$O$29)+$O$6*((1+$C$26)*$C$36-Zalozenia!$B$35*$C$26)/($A104-$C$26)/(1+$A104)^$O$29-C52)/C54</f>
        <v>42.74101048709368</v>
      </c>
    </row>
    <row r="105" spans="1:2">
      <c r="A105" s="59">
        <f>$C$26+0.005+0.0025*25</f>
        <v>0.0825</v>
      </c>
      <c r="B105" s="52">
        <f>(SUMPRODUCT(($F$31:$O$31)/(1+$A105)^$F$29:$O$29)+$O$6*((1+$C$26)*$C$36-Zalozenia!$B$35*$C$26)/($A105-$C$26)/(1+$A105)^$O$29-C52)/C54</f>
        <v>40.81581024385683</v>
      </c>
    </row>
    <row r="106" spans="1:2">
      <c r="A106" s="59">
        <f>$C$26+0.005+0.0025*26</f>
        <v>0.085</v>
      </c>
      <c r="B106" s="52">
        <f>(SUMPRODUCT(($F$31:$O$31)/(1+$A106)^$F$29:$O$29)+$O$6*((1+$C$26)*$C$36-Zalozenia!$B$35*$C$26)/($A106-$C$26)/(1+$A106)^$O$29-C52)/C54</f>
        <v>39.02824367935113</v>
      </c>
    </row>
    <row r="107" spans="1:2">
      <c r="A107" s="59">
        <f>$C$26+0.005+0.0025*27</f>
        <v>0.08750000000000001</v>
      </c>
      <c r="B107" s="52">
        <f>(SUMPRODUCT(($F$31:$O$31)/(1+$A107)^$F$29:$O$29)+$O$6*((1+$C$26)*$C$36-Zalozenia!$B$35*$C$26)/($A107-$C$26)/(1+$A107)^$O$29-C52)/C54</f>
        <v>37.36407076309867</v>
      </c>
    </row>
    <row r="108" spans="1:2">
      <c r="A108" s="59">
        <f>$C$26+0.005+0.0025*28</f>
        <v>0.09000000000000001</v>
      </c>
      <c r="B108" s="52">
        <f>(SUMPRODUCT(($F$31:$O$31)/(1+$A108)^$F$29:$O$29)+$O$6*((1+$C$26)*$C$36-Zalozenia!$B$35*$C$26)/($A108-$C$26)/(1+$A108)^$O$29-C52)/C54</f>
        <v>35.810950171841206</v>
      </c>
    </row>
    <row r="109" spans="1:2">
      <c r="A109" s="59">
        <f>$C$26+0.005+0.0025*29</f>
        <v>0.0925</v>
      </c>
      <c r="B109" s="52">
        <f>(SUMPRODUCT(($F$31:$O$31)/(1+$A109)^$F$29:$O$29)+$O$6*((1+$C$26)*$C$36-Zalozenia!$B$35*$C$26)/($A109-$C$26)/(1+$A109)^$O$29-C52)/C54</f>
        <v>34.358133045688525</v>
      </c>
    </row>
    <row r="110" spans="1:2">
      <c r="A110" s="59">
        <f>$C$26+0.005+0.0025*30</f>
        <v>0.095</v>
      </c>
      <c r="B110" s="52">
        <f>(SUMPRODUCT(($F$31:$O$31)/(1+$A110)^$F$29:$O$29)+$O$6*((1+$C$26)*$C$36-Zalozenia!$B$35*$C$26)/($A110-$C$26)/(1+$A110)^$O$29-C52)/C54</f>
        <v>32.99621416500609</v>
      </c>
    </row>
    <row r="111" spans="1:2">
      <c r="A111" s="59">
        <f>$C$26+0.005+0.0025*31</f>
        <v>0.0975</v>
      </c>
      <c r="B111" s="52">
        <f>(SUMPRODUCT(($F$31:$O$31)/(1+$A111)^$F$29:$O$29)+$O$6*((1+$C$26)*$C$36-Zalozenia!$B$35*$C$26)/($A111-$C$26)/(1+$A111)^$O$29-C52)/C54</f>
        <v>31.716928367886144</v>
      </c>
    </row>
    <row r="112" spans="1:2">
      <c r="A112" s="59">
        <f>$C$26+0.005+0.0025*32</f>
        <v>0.1</v>
      </c>
      <c r="B112" s="52">
        <f>(SUMPRODUCT(($F$31:$O$31)/(1+$A112)^$F$29:$O$29)+$O$6*((1+$C$26)*$C$36-Zalozenia!$B$35*$C$26)/($A112-$C$26)/(1+$A112)^$O$29-C52)/C54</f>
        <v>30.512982893962796</v>
      </c>
    </row>
    <row r="113" spans="1:2">
      <c r="A113" s="59">
        <f>$C$26+0.005+0.0025*33</f>
        <v>0.10250000000000001</v>
      </c>
      <c r="B113" s="52">
        <f>(SUMPRODUCT(($F$31:$O$31)/(1+$A113)^$F$29:$O$29)+$O$6*((1+$C$26)*$C$36-Zalozenia!$B$35*$C$26)/($A113-$C$26)/(1+$A113)^$O$29-C52)/C54</f>
        <v>29.37791846930285</v>
      </c>
    </row>
    <row r="114" spans="1:2">
      <c r="A114" s="59">
        <f>$C$26+0.005+0.0025*34</f>
        <v>0.10500000000000001</v>
      </c>
      <c r="B114" s="52">
        <f>(SUMPRODUCT(($F$31:$O$31)/(1+$A114)^$F$29:$O$29)+$O$6*((1+$C$26)*$C$36-Zalozenia!$B$35*$C$26)/($A114-$C$26)/(1+$A114)^$O$29-C52)/C54</f>
        <v>28.30599354382838</v>
      </c>
    </row>
    <row r="115" spans="1:2">
      <c r="A115" s="59">
        <f>$C$26+0.005+0.0025*35</f>
        <v>0.10750000000000001</v>
      </c>
      <c r="B115" s="52">
        <f>(SUMPRODUCT(($F$31:$O$31)/(1+$A115)^$F$29:$O$29)+$O$6*((1+$C$26)*$C$36-Zalozenia!$B$35*$C$26)/($A115-$C$26)/(1+$A115)^$O$29-C52)/C54</f>
        <v>27.292087301063162</v>
      </c>
    </row>
    <row r="116" spans="1:2">
      <c r="A116" s="59">
        <f>$C$26+0.005+0.0025*36</f>
        <v>0.11</v>
      </c>
      <c r="B116" s="52">
        <f>(SUMPRODUCT(($F$31:$O$31)/(1+$A116)^$F$29:$O$29)+$O$6*((1+$C$26)*$C$36-Zalozenia!$B$35*$C$26)/($A116-$C$26)/(1+$A116)^$O$29-C52)/C54</f>
        <v>26.33161798214208</v>
      </c>
    </row>
    <row r="117" spans="1:2">
      <c r="A117" s="59">
        <f>$C$26+0.005+0.0025*37</f>
        <v>0.1125</v>
      </c>
      <c r="B117" s="52">
        <f>(SUMPRODUCT(($F$31:$O$31)/(1+$A117)^$F$29:$O$29)+$O$6*((1+$C$26)*$C$36-Zalozenia!$B$35*$C$26)/($A117-$C$26)/(1+$A117)^$O$29-C52)/C54</f>
        <v>25.420473775369846</v>
      </c>
    </row>
    <row r="118" spans="1:2">
      <c r="A118" s="59">
        <f>$C$26+0.005+0.0025*38</f>
        <v>0.115</v>
      </c>
      <c r="B118" s="52">
        <f>(SUMPRODUCT(($F$31:$O$31)/(1+$A118)^$F$29:$O$29)+$O$6*((1+$C$26)*$C$36-Zalozenia!$B$35*$C$26)/($A118-$C$26)/(1+$A118)^$O$29-C52)/C54</f>
        <v>24.55495407235694</v>
      </c>
    </row>
    <row r="119" spans="1:2">
      <c r="A119" s="59">
        <f>$C$26+0.005+0.0025*39</f>
        <v>0.11750000000000001</v>
      </c>
      <c r="B119" s="52">
        <f>(SUMPRODUCT(($F$31:$O$31)/(1+$A119)^$F$29:$O$29)+$O$6*((1+$C$26)*$C$36-Zalozenia!$B$35*$C$26)/($A119-$C$26)/(1+$A119)^$O$29-C52)/C54</f>
        <v>23.73171932082991</v>
      </c>
    </row>
    <row r="120" spans="1:2">
      <c r="A120" s="59">
        <f>$C$26+0.005+0.0025*40</f>
        <v>0.12000000000000001</v>
      </c>
      <c r="B120" s="52">
        <f>(SUMPRODUCT(($F$31:$O$31)/(1+$A120)^$F$29:$O$29)+$O$6*((1+$C$26)*$C$36-Zalozenia!$B$35*$C$26)/($A120-$C$26)/(1+$A120)^$O$29-C52)/C54</f>
        <v>22.947748041335867</v>
      </c>
    </row>
    <row r="121" spans="1:2">
      <c r="A121" s="59">
        <f>$C$26+0.005+0.0025*41</f>
        <v>0.12250000000000001</v>
      </c>
      <c r="B121" s="52">
        <f>(SUMPRODUCT(($F$31:$O$31)/(1+$A121)^$F$29:$O$29)+$O$6*((1+$C$26)*$C$36-Zalozenia!$B$35*$C$26)/($A121-$C$26)/(1+$A121)^$O$29-C52)/C54</f>
        <v>22.200299841626315</v>
      </c>
    </row>
    <row r="122" spans="1:2">
      <c r="A122" s="59">
        <f>$C$26+0.005+0.0025*42</f>
        <v>0.125</v>
      </c>
      <c r="B122" s="52">
        <f>(SUMPRODUCT(($F$31:$O$31)/(1+$A122)^$F$29:$O$29)+$O$6*((1+$C$26)*$C$36-Zalozenia!$B$35*$C$26)/($A122-$C$26)/(1+$A122)^$O$29-C52)/C54</f>
        <v>21.486883474542903</v>
      </c>
    </row>
    <row r="123" spans="1:2">
      <c r="A123" s="59">
        <f>$C$26+0.005+0.0025*43</f>
        <v>0.1275</v>
      </c>
      <c r="B123" s="52">
        <f>(SUMPRODUCT(($F$31:$O$31)/(1+$A123)^$F$29:$O$29)+$O$6*((1+$C$26)*$C$36-Zalozenia!$B$35*$C$26)/($A123-$C$26)/(1+$A123)^$O$29-C52)/C54</f>
        <v>20.805229154861102</v>
      </c>
    </row>
    <row r="124" spans="1:2">
      <c r="A124" s="59">
        <f>$C$26+0.005+0.0025*44</f>
        <v>0.13</v>
      </c>
      <c r="B124" s="52">
        <f>(SUMPRODUCT(($F$31:$O$31)/(1+$A124)^$F$29:$O$29)+$O$6*((1+$C$26)*$C$36-Zalozenia!$B$35*$C$26)/($A124-$C$26)/(1+$A124)^$O$29-C52)/C54</f>
        <v>20.153264486988572</v>
      </c>
    </row>
    <row r="125" spans="1:2">
      <c r="A125" s="59">
        <f>$C$26+0.005+0.0025*45</f>
        <v>0.1325</v>
      </c>
      <c r="B125" s="52">
        <f>(SUMPRODUCT(($F$31:$O$31)/(1+$A125)^$F$29:$O$29)+$O$6*((1+$C$26)*$C$36-Zalozenia!$B$35*$C$26)/($A125-$C$26)/(1+$A125)^$O$29-C52)/C54</f>
        <v>19.529093465731407</v>
      </c>
    </row>
    <row r="126" spans="1:2">
      <c r="A126" s="59">
        <f>$C$26+0.005+0.0025*46</f>
        <v>0.135</v>
      </c>
      <c r="B126" s="52">
        <f>(SUMPRODUCT(($F$31:$O$31)/(1+$A126)^$F$29:$O$29)+$O$6*((1+$C$26)*$C$36-Zalozenia!$B$35*$C$26)/($A126-$C$26)/(1+$A126)^$O$29-C52)/C54</f>
        <v>18.93097810197241</v>
      </c>
    </row>
    <row r="127" spans="1:2">
      <c r="A127" s="59">
        <f>$C$26+0.005+0.0025*47</f>
        <v>0.1375</v>
      </c>
      <c r="B127" s="52">
        <f>(SUMPRODUCT(($F$31:$O$31)/(1+$A127)^$F$29:$O$29)+$O$6*((1+$C$26)*$C$36-Zalozenia!$B$35*$C$26)/($A127-$C$26)/(1+$A127)^$O$29-C52)/C54</f>
        <v>18.357322298273385</v>
      </c>
    </row>
    <row r="128" spans="1:2">
      <c r="A128" s="59">
        <f>$C$26+0.005+0.0025*48</f>
        <v>0.13999999999999999</v>
      </c>
      <c r="B128" s="52">
        <f>(SUMPRODUCT(($F$31:$O$31)/(1+$A128)^$F$29:$O$29)+$O$6*((1+$C$26)*$C$36-Zalozenia!$B$35*$C$26)/($A128-$C$26)/(1+$A128)^$O$29-C52)/C54</f>
        <v>17.80665765941236</v>
      </c>
    </row>
    <row r="130" spans="1:1">
      <c r="A130" s="2" t="s">
        <v>191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P130"/>
  <sheetViews>
    <sheetView showGridLines="0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5"/>
  <cols>
    <col min="1" max="1" width="54.7109375" customWidth="1"/>
    <col min="2" max="2" width="12.7109375" customWidth="1"/>
    <col min="3" max="16" width="11.7109375" customWidth="1"/>
  </cols>
  <sheetData>
    <row r="1" spans="1:16">
      <c r="A1" s="1" t="s">
        <v>192</v>
      </c>
    </row>
    <row r="2" spans="1:16">
      <c r="A2" s="2" t="str">
        <f>Zalozenia!$B$5&amp;" ("&amp;Zalozenia!$B$6&amp;"), kwoty w "&amp;Zalozenia!$B$7&amp;"; lata 1–5 z założeń, lata 6–10 wygaszanie do stanu ustalonego."</f>
        <v>Spółka Przykładowa S.A. (SPRZ), kwoty w mln zł; lata 1–5 z założeń, lata 6–10 wygaszanie do stanu ustalonego.</v>
      </c>
    </row>
    <row r="3" spans="1:16">
      <c r="C3" s="2" t="s">
        <v>132</v>
      </c>
      <c r="F3" s="2" t="s">
        <v>133</v>
      </c>
      <c r="K3" s="2" t="s">
        <v>134</v>
      </c>
      <c r="P3" s="2" t="s">
        <v>135</v>
      </c>
    </row>
    <row r="4" spans="1:16">
      <c r="A4" s="21" t="s">
        <v>130</v>
      </c>
      <c r="B4" s="18"/>
      <c r="C4" s="19">
        <f>Historia!B3</f>
        <v>2023</v>
      </c>
      <c r="D4" s="19">
        <f>Historia!C3</f>
        <v>2024</v>
      </c>
      <c r="E4" s="19">
        <f>Historia!D3</f>
        <v>2025</v>
      </c>
      <c r="F4" s="19">
        <f>Zalozenia!C$46</f>
        <v>2026.0</v>
      </c>
      <c r="G4" s="19">
        <f>Zalozenia!D$46</f>
        <v>2027.0</v>
      </c>
      <c r="H4" s="19">
        <f>Zalozenia!E$46</f>
        <v>2028.0</v>
      </c>
      <c r="I4" s="19">
        <f>Zalozenia!F$46</f>
        <v>2029.0</v>
      </c>
      <c r="J4" s="19">
        <f>Zalozenia!G$46</f>
        <v>2030.0</v>
      </c>
      <c r="K4" s="19">
        <f>Zalozenia!H$46</f>
        <v>2031.0</v>
      </c>
      <c r="L4" s="19">
        <f>Zalozenia!I$46</f>
        <v>2032.0</v>
      </c>
      <c r="M4" s="19">
        <f>Zalozenia!J$46</f>
        <v>2033.0</v>
      </c>
      <c r="N4" s="19">
        <f>Zalozenia!K$46</f>
        <v>2034.0</v>
      </c>
      <c r="O4" s="19">
        <f>Zalozenia!L$46</f>
        <v>2035.0</v>
      </c>
      <c r="P4" s="18" t="s">
        <v>131</v>
      </c>
    </row>
    <row r="5" spans="1:16">
      <c r="A5" s="7" t="s">
        <v>93</v>
      </c>
      <c r="B5" s="2" t="s">
        <v>136</v>
      </c>
      <c r="D5" s="32">
        <f>Historia!C5</f>
        <v>0.06290322580645169</v>
      </c>
      <c r="E5" s="32">
        <f>Historia!D5</f>
        <v>0.06373292867981784</v>
      </c>
      <c r="F5" s="33">
        <f>Zalozenia!C64</f>
        <v>0.052</v>
      </c>
      <c r="G5" s="33">
        <f>Zalozenia!D64</f>
        <v>0.058</v>
      </c>
      <c r="H5" s="33">
        <f>Zalozenia!E64</f>
        <v>0.05</v>
      </c>
      <c r="I5" s="33">
        <f>Zalozenia!F64</f>
        <v>0.045</v>
      </c>
      <c r="J5" s="33">
        <f>Zalozenia!G64</f>
        <v>0.04</v>
      </c>
      <c r="K5" s="33">
        <f>Zalozenia!H64</f>
        <v>0.036000000000000004</v>
      </c>
      <c r="L5" s="33">
        <f>Zalozenia!I64</f>
        <v>0.032</v>
      </c>
      <c r="M5" s="33">
        <f>Zalozenia!J64</f>
        <v>0.028</v>
      </c>
      <c r="N5" s="33">
        <f>Zalozenia!K64</f>
        <v>0.024</v>
      </c>
      <c r="O5" s="33">
        <f>Zalozenia!L64</f>
        <v>0.02</v>
      </c>
      <c r="P5" s="34">
        <f>$C$26</f>
        <v>0.02</v>
      </c>
    </row>
    <row r="6" spans="1:16">
      <c r="A6" s="35" t="s">
        <v>108</v>
      </c>
      <c r="B6" s="2" t="s">
        <v>25</v>
      </c>
      <c r="C6" s="36">
        <f>Historia!B4</f>
        <v>1240</v>
      </c>
      <c r="D6" s="36">
        <f>Historia!C4</f>
        <v>1318</v>
      </c>
      <c r="E6" s="36">
        <f>Historia!D4</f>
        <v>1402</v>
      </c>
      <c r="F6" s="37">
        <f>E6*(1+F5)</f>
        <v>1474.904</v>
      </c>
      <c r="G6" s="37">
        <f>F6*(1+G5)</f>
        <v>1560.4484320000001</v>
      </c>
      <c r="H6" s="37">
        <f>G6*(1+H5)</f>
        <v>1638.4708536000003</v>
      </c>
      <c r="I6" s="37">
        <f>H6*(1+I5)</f>
        <v>1712.2020420120002</v>
      </c>
      <c r="J6" s="37">
        <f>I6*(1+J5)</f>
        <v>1780.6901236924803</v>
      </c>
      <c r="K6" s="37">
        <f>J6*(1+K5)</f>
        <v>1844.7949681454097</v>
      </c>
      <c r="L6" s="37">
        <f>K6*(1+L5)</f>
        <v>1903.828407126063</v>
      </c>
      <c r="M6" s="37">
        <f>L6*(1+M5)</f>
        <v>1957.1356025255927</v>
      </c>
      <c r="N6" s="37">
        <f>M6*(1+N5)</f>
        <v>2004.106856986207</v>
      </c>
      <c r="O6" s="37">
        <f>N6*(1+O5)</f>
        <v>2044.1889941259312</v>
      </c>
      <c r="P6" s="37">
        <f>O6*(1+P5)</f>
        <v>2085.07277400845</v>
      </c>
    </row>
    <row r="7" spans="1:16">
      <c r="A7" s="7" t="s">
        <v>94</v>
      </c>
      <c r="B7" s="2" t="s">
        <v>136</v>
      </c>
      <c r="C7" s="28">
        <f>IF(AND(ISNUMBER(C8),ISNUMBER(C6)),C8/C6,"n/d")</f>
        <v>0.15</v>
      </c>
      <c r="D7" s="28">
        <f>IF(AND(ISNUMBER(D8),ISNUMBER(D6)),D8/D6,"n/d")</f>
        <v>0.12974203338391502</v>
      </c>
      <c r="E7" s="28">
        <f>IF(AND(ISNUMBER(E8),ISNUMBER(E6)),E8/E6,"n/d")</f>
        <v>0.1398002853067047</v>
      </c>
      <c r="F7" s="33">
        <f>Zalozenia!C65</f>
        <v>0.145</v>
      </c>
      <c r="G7" s="33">
        <f>Zalozenia!D65</f>
        <v>0.149</v>
      </c>
      <c r="H7" s="33">
        <f>Zalozenia!E65</f>
        <v>0.15</v>
      </c>
      <c r="I7" s="33">
        <f>Zalozenia!F65</f>
        <v>0.15</v>
      </c>
      <c r="J7" s="33">
        <f>Zalozenia!G65</f>
        <v>0.15</v>
      </c>
      <c r="K7" s="33">
        <f>Zalozenia!H65</f>
        <v>0.15</v>
      </c>
      <c r="L7" s="33">
        <f>Zalozenia!I65</f>
        <v>0.15</v>
      </c>
      <c r="M7" s="33">
        <f>Zalozenia!J65</f>
        <v>0.15</v>
      </c>
      <c r="N7" s="33">
        <f>Zalozenia!K65</f>
        <v>0.15</v>
      </c>
      <c r="O7" s="33">
        <f>Zalozenia!L65</f>
        <v>0.15</v>
      </c>
      <c r="P7" s="34">
        <f>O7</f>
        <v>0.15</v>
      </c>
    </row>
    <row r="8" spans="1:16">
      <c r="A8" s="35" t="s">
        <v>110</v>
      </c>
      <c r="B8" s="2" t="s">
        <v>25</v>
      </c>
      <c r="C8" s="36">
        <f>Historia!B6</f>
        <v>186</v>
      </c>
      <c r="D8" s="36">
        <f>Historia!C6</f>
        <v>171</v>
      </c>
      <c r="E8" s="36">
        <f>Historia!D6</f>
        <v>196</v>
      </c>
      <c r="F8" s="37">
        <f>F6*F7</f>
        <v>213.86108</v>
      </c>
      <c r="G8" s="37">
        <f>G6*G7</f>
        <v>232.50681636800002</v>
      </c>
      <c r="H8" s="37">
        <f>H6*H7</f>
        <v>245.77062804000002</v>
      </c>
      <c r="I8" s="37">
        <f>I6*I7</f>
        <v>256.8303063018</v>
      </c>
      <c r="J8" s="37">
        <f>J6*J7</f>
        <v>267.10351855387205</v>
      </c>
      <c r="K8" s="37">
        <f>K6*K7</f>
        <v>276.71924522181143</v>
      </c>
      <c r="L8" s="37">
        <f>L6*L7</f>
        <v>285.57426106890944</v>
      </c>
      <c r="M8" s="37">
        <f>M6*M7</f>
        <v>293.5703403788389</v>
      </c>
      <c r="N8" s="37">
        <f>N6*N7</f>
        <v>300.616028547931</v>
      </c>
      <c r="O8" s="37">
        <f>O6*O7</f>
        <v>306.6283491188897</v>
      </c>
      <c r="P8" s="37">
        <f>P6*P7</f>
        <v>312.76091610126747</v>
      </c>
    </row>
    <row r="9" spans="1:16">
      <c r="A9" s="7" t="s">
        <v>83</v>
      </c>
      <c r="B9" s="2" t="s">
        <v>136</v>
      </c>
      <c r="C9" s="28">
        <f>IF(AND(ISNUMBER(C10),ISNUMBER(C6)),C10/C6,"n/d")</f>
        <v>0.04516129032258064</v>
      </c>
      <c r="D9" s="28">
        <f>IF(AND(ISNUMBER(D10),ISNUMBER(D6)),D10/D6,"n/d")</f>
        <v>0.044764795144157814</v>
      </c>
      <c r="E9" s="28">
        <f>IF(AND(ISNUMBER(E10),ISNUMBER(E6)),E10/E6,"n/d")</f>
        <v>0.0449358059914408</v>
      </c>
      <c r="F9" s="33">
        <f>Zalozenia!C$47</f>
        <v>0.045</v>
      </c>
      <c r="G9" s="33">
        <f>Zalozenia!D$47</f>
        <v>0.045</v>
      </c>
      <c r="H9" s="33">
        <f>Zalozenia!E$47</f>
        <v>0.045</v>
      </c>
      <c r="I9" s="33">
        <f>Zalozenia!F$47</f>
        <v>0.045</v>
      </c>
      <c r="J9" s="33">
        <f>Zalozenia!G$47</f>
        <v>0.045</v>
      </c>
      <c r="K9" s="33">
        <f>Zalozenia!H$47</f>
        <v>0.045</v>
      </c>
      <c r="L9" s="33">
        <f>Zalozenia!I$47</f>
        <v>0.045</v>
      </c>
      <c r="M9" s="33">
        <f>Zalozenia!J$47</f>
        <v>0.045</v>
      </c>
      <c r="N9" s="33">
        <f>Zalozenia!K$47</f>
        <v>0.045</v>
      </c>
      <c r="O9" s="33">
        <f>Zalozenia!L$47</f>
        <v>0.045</v>
      </c>
      <c r="P9" s="33">
        <f>Zalozenia!$B$37</f>
        <v>0.045</v>
      </c>
    </row>
    <row r="10" spans="1:16">
      <c r="A10" s="7" t="s">
        <v>112</v>
      </c>
      <c r="B10" s="2" t="s">
        <v>25</v>
      </c>
      <c r="C10" s="38">
        <f>Historia!B8</f>
        <v>56</v>
      </c>
      <c r="D10" s="38">
        <f>Historia!C8</f>
        <v>59</v>
      </c>
      <c r="E10" s="38">
        <f>Historia!D8</f>
        <v>63</v>
      </c>
      <c r="F10" s="15">
        <f>F6*F9</f>
        <v>66.37068</v>
      </c>
      <c r="G10" s="15">
        <f>G6*G9</f>
        <v>70.22017944000001</v>
      </c>
      <c r="H10" s="15">
        <f>H6*H9</f>
        <v>73.73118841200001</v>
      </c>
      <c r="I10" s="15">
        <f>I6*I9</f>
        <v>77.04909189054001</v>
      </c>
      <c r="J10" s="15">
        <f>J6*J9</f>
        <v>80.1310555661616</v>
      </c>
      <c r="K10" s="15">
        <f>K6*K9</f>
        <v>83.01577356654343</v>
      </c>
      <c r="L10" s="15">
        <f>L6*L9</f>
        <v>85.67227832067283</v>
      </c>
      <c r="M10" s="15">
        <f>M6*M9</f>
        <v>88.07110211365168</v>
      </c>
      <c r="N10" s="15">
        <f>N6*N9</f>
        <v>90.18480856437931</v>
      </c>
      <c r="O10" s="15">
        <f>O6*O9</f>
        <v>91.98850473566691</v>
      </c>
      <c r="P10" s="15">
        <f>P6*P9</f>
        <v>93.82827483038024</v>
      </c>
    </row>
    <row r="11" spans="1:16">
      <c r="A11" s="7" t="s">
        <v>114</v>
      </c>
      <c r="B11" s="2" t="s">
        <v>25</v>
      </c>
      <c r="C11" s="29">
        <f>IF(AND(ISNUMBER(C8),ISNUMBER(C10)),C8-C10,"n/d")</f>
        <v>130.0</v>
      </c>
      <c r="D11" s="29">
        <f>IF(AND(ISNUMBER(D8),ISNUMBER(D10)),D8-D10,"n/d")</f>
        <v>112.0</v>
      </c>
      <c r="E11" s="29">
        <f>IF(AND(ISNUMBER(E8),ISNUMBER(E10)),E8-E10,"n/d")</f>
        <v>133.0</v>
      </c>
      <c r="F11" s="15">
        <f>F8-F10</f>
        <v>147.4904</v>
      </c>
      <c r="G11" s="15">
        <f>G8-G10</f>
        <v>162.286636928</v>
      </c>
      <c r="H11" s="15">
        <f>H8-H10</f>
        <v>172.03943962800003</v>
      </c>
      <c r="I11" s="15">
        <f>I8-I10</f>
        <v>179.78121441126</v>
      </c>
      <c r="J11" s="15">
        <f>J8-J10</f>
        <v>186.97246298771046</v>
      </c>
      <c r="K11" s="15">
        <f>K8-K10</f>
        <v>193.703471655268</v>
      </c>
      <c r="L11" s="15">
        <f>L8-L10</f>
        <v>199.9019827482366</v>
      </c>
      <c r="M11" s="15">
        <f>M8-M10</f>
        <v>205.49923826518724</v>
      </c>
      <c r="N11" s="15">
        <f>N8-N10</f>
        <v>210.43121998355173</v>
      </c>
      <c r="O11" s="15">
        <f>O8-O10</f>
        <v>214.63984438322277</v>
      </c>
      <c r="P11" s="15">
        <f>P8-P10</f>
        <v>218.93264127088725</v>
      </c>
    </row>
    <row r="12" spans="1:16">
      <c r="A12" s="7" t="s">
        <v>89</v>
      </c>
      <c r="B12" s="2" t="s">
        <v>136</v>
      </c>
      <c r="F12" s="33">
        <f>Zalozenia!C$50</f>
        <v>0.19</v>
      </c>
      <c r="G12" s="33">
        <f>Zalozenia!D$50</f>
        <v>0.19</v>
      </c>
      <c r="H12" s="33">
        <f>Zalozenia!E$50</f>
        <v>0.19</v>
      </c>
      <c r="I12" s="33">
        <f>Zalozenia!F$50</f>
        <v>0.19</v>
      </c>
      <c r="J12" s="33">
        <f>Zalozenia!G$50</f>
        <v>0.19</v>
      </c>
      <c r="K12" s="33">
        <f>Zalozenia!H$50</f>
        <v>0.19</v>
      </c>
      <c r="L12" s="33">
        <f>Zalozenia!I$50</f>
        <v>0.19</v>
      </c>
      <c r="M12" s="33">
        <f>Zalozenia!J$50</f>
        <v>0.19</v>
      </c>
      <c r="N12" s="33">
        <f>Zalozenia!K$50</f>
        <v>0.19</v>
      </c>
      <c r="O12" s="33">
        <f>Zalozenia!L$50</f>
        <v>0.19</v>
      </c>
      <c r="P12" s="33">
        <f>Zalozenia!$B$12</f>
        <v>0.19</v>
      </c>
    </row>
    <row r="13" spans="1:16">
      <c r="A13" s="7" t="s">
        <v>137</v>
      </c>
      <c r="B13" s="2" t="s">
        <v>25</v>
      </c>
      <c r="F13" s="15">
        <f>MAX(0,F11)*F12</f>
        <v>28.023176</v>
      </c>
      <c r="G13" s="15">
        <f>MAX(0,G11)*G12</f>
        <v>30.834461016320002</v>
      </c>
      <c r="H13" s="15">
        <f>MAX(0,H11)*H12</f>
        <v>32.68749352932001</v>
      </c>
      <c r="I13" s="15">
        <f>MAX(0,I11)*I12</f>
        <v>34.1584307381394</v>
      </c>
      <c r="J13" s="15">
        <f>MAX(0,J11)*J12</f>
        <v>35.524767967664985</v>
      </c>
      <c r="K13" s="15">
        <f>MAX(0,K11)*K12</f>
        <v>36.80365961450092</v>
      </c>
      <c r="L13" s="15">
        <f>MAX(0,L11)*L12</f>
        <v>37.98137672216495</v>
      </c>
      <c r="M13" s="15">
        <f>MAX(0,M11)*M12</f>
        <v>39.044855270385575</v>
      </c>
      <c r="N13" s="15">
        <f>MAX(0,N11)*N12</f>
        <v>39.98193179687483</v>
      </c>
      <c r="O13" s="15">
        <f>MAX(0,O11)*O12</f>
        <v>40.78157043281232</v>
      </c>
      <c r="P13" s="15">
        <f>MAX(0,P11)*P12</f>
        <v>41.597201841468575</v>
      </c>
    </row>
    <row r="14" spans="1:16">
      <c r="A14" s="7" t="s">
        <v>138</v>
      </c>
      <c r="B14" s="2" t="s">
        <v>25</v>
      </c>
      <c r="F14" s="15">
        <f>F11-F13</f>
        <v>119.46722399999999</v>
      </c>
      <c r="G14" s="15">
        <f>G11-G13</f>
        <v>131.45217591168</v>
      </c>
      <c r="H14" s="15">
        <f>H11-H13</f>
        <v>139.35194609868</v>
      </c>
      <c r="I14" s="15">
        <f>I11-I13</f>
        <v>145.6227836731206</v>
      </c>
      <c r="J14" s="15">
        <f>J11-J13</f>
        <v>151.44769502004547</v>
      </c>
      <c r="K14" s="15">
        <f>K11-K13</f>
        <v>156.89981204076707</v>
      </c>
      <c r="L14" s="15">
        <f>L11-L13</f>
        <v>161.92060602607165</v>
      </c>
      <c r="M14" s="15">
        <f>M11-M13</f>
        <v>166.45438299480168</v>
      </c>
      <c r="N14" s="15">
        <f>N11-N13</f>
        <v>170.44928818667688</v>
      </c>
      <c r="O14" s="15">
        <f>O11-O13</f>
        <v>173.85827395041045</v>
      </c>
      <c r="P14" s="15">
        <f>P11-P13</f>
        <v>177.33543942941867</v>
      </c>
    </row>
    <row r="15" spans="1:16">
      <c r="A15" s="7" t="s">
        <v>139</v>
      </c>
      <c r="B15" s="2" t="s">
        <v>25</v>
      </c>
      <c r="F15" s="15">
        <f>F10</f>
        <v>66.37068</v>
      </c>
      <c r="G15" s="15">
        <f>G10</f>
        <v>70.22017944000001</v>
      </c>
      <c r="H15" s="15">
        <f>H10</f>
        <v>73.73118841200001</v>
      </c>
      <c r="I15" s="15">
        <f>I10</f>
        <v>77.04909189054001</v>
      </c>
      <c r="J15" s="15">
        <f>J10</f>
        <v>80.1310555661616</v>
      </c>
      <c r="K15" s="15">
        <f>K10</f>
        <v>83.01577356654343</v>
      </c>
      <c r="L15" s="15">
        <f>L10</f>
        <v>85.67227832067283</v>
      </c>
      <c r="M15" s="15">
        <f>M10</f>
        <v>88.07110211365168</v>
      </c>
      <c r="N15" s="15">
        <f>N10</f>
        <v>90.18480856437931</v>
      </c>
      <c r="O15" s="15">
        <f>O10</f>
        <v>91.98850473566691</v>
      </c>
      <c r="P15" s="15">
        <f>P10</f>
        <v>93.82827483038024</v>
      </c>
    </row>
    <row r="16" spans="1:16">
      <c r="A16" s="7" t="s">
        <v>140</v>
      </c>
      <c r="B16" s="2" t="s">
        <v>25</v>
      </c>
      <c r="C16" s="38">
        <f>Historia!B12</f>
        <v>67</v>
      </c>
      <c r="D16" s="38">
        <f>Historia!C12</f>
        <v>70</v>
      </c>
      <c r="E16" s="38">
        <f>Historia!D12</f>
        <v>76</v>
      </c>
      <c r="F16" s="15">
        <f>F6*Zalozenia!C$48</f>
        <v>81.11972</v>
      </c>
      <c r="G16" s="15">
        <f>G6*Zalozenia!D$48</f>
        <v>85.82466376</v>
      </c>
      <c r="H16" s="15">
        <f>H6*Zalozenia!E$48</f>
        <v>86.83895524080002</v>
      </c>
      <c r="I16" s="15">
        <f>I6*Zalozenia!F$48</f>
        <v>87.32230414261201</v>
      </c>
      <c r="J16" s="15">
        <f>J6*Zalozenia!G$48</f>
        <v>89.03450618462402</v>
      </c>
      <c r="K16" s="15">
        <f>K6*Zalozenia!H$48</f>
        <v>92.05526891045595</v>
      </c>
      <c r="L16" s="15">
        <f>L6*Zalozenia!I$48</f>
        <v>94.81065467487794</v>
      </c>
      <c r="M16" s="15">
        <f>M6*Zalozenia!J$48</f>
        <v>97.26963944552196</v>
      </c>
      <c r="N16" s="15">
        <f>N6*Zalozenia!K$48</f>
        <v>99.40370010651588</v>
      </c>
      <c r="O16" s="15">
        <f>O6*Zalozenia!L$48</f>
        <v>101.1873552092336</v>
      </c>
      <c r="P16" s="15">
        <f>P10*Zalozenia!$B$36</f>
        <v>103.21110231341827</v>
      </c>
    </row>
    <row r="17" spans="1:16">
      <c r="A17" s="7" t="s">
        <v>141</v>
      </c>
      <c r="B17" s="2" t="s">
        <v>25</v>
      </c>
      <c r="F17" s="15">
        <f>F6*Zalozenia!C$49</f>
        <v>0.0</v>
      </c>
      <c r="G17" s="15">
        <f>G6*Zalozenia!D$49</f>
        <v>0.0</v>
      </c>
      <c r="H17" s="15">
        <f>H6*Zalozenia!E$49</f>
        <v>0.0</v>
      </c>
      <c r="I17" s="15">
        <f>I6*Zalozenia!F$49</f>
        <v>0.0</v>
      </c>
      <c r="J17" s="15">
        <f>J6*Zalozenia!G$49</f>
        <v>0.0</v>
      </c>
      <c r="K17" s="15">
        <f>K6*Zalozenia!H$49</f>
        <v>0.0</v>
      </c>
      <c r="L17" s="15">
        <f>L6*Zalozenia!I$49</f>
        <v>0.0</v>
      </c>
      <c r="M17" s="15">
        <f>M6*Zalozenia!J$49</f>
        <v>0.0</v>
      </c>
      <c r="N17" s="15">
        <f>N6*Zalozenia!K$49</f>
        <v>0.0</v>
      </c>
      <c r="O17" s="15">
        <f>O6*Zalozenia!L$49</f>
        <v>0.0</v>
      </c>
      <c r="P17" s="15">
        <v>0</v>
      </c>
    </row>
    <row r="18" spans="1:16">
      <c r="A18" s="7" t="s">
        <v>142</v>
      </c>
      <c r="B18" s="2" t="s">
        <v>25</v>
      </c>
      <c r="F18" s="15">
        <f>Zalozenia!$B$35*(F6-E6)</f>
        <v>8.748479999999999</v>
      </c>
      <c r="G18" s="15">
        <f>Zalozenia!$B$35*(G6-F6)</f>
        <v>10.265331840000016</v>
      </c>
      <c r="H18" s="15">
        <f>Zalozenia!$B$35*(H6-G6)</f>
        <v>9.362690592000018</v>
      </c>
      <c r="I18" s="15">
        <f>Zalozenia!$B$35*(I6-H6)</f>
        <v>8.847742609439992</v>
      </c>
      <c r="J18" s="15">
        <f>Zalozenia!$B$35*(J6-I6)</f>
        <v>8.218569801657605</v>
      </c>
      <c r="K18" s="15">
        <f>Zalozenia!$B$35*(K6-J6)</f>
        <v>7.692581334351535</v>
      </c>
      <c r="L18" s="15">
        <f>Zalozenia!$B$35*(L6-K6)</f>
        <v>7.084012677678392</v>
      </c>
      <c r="M18" s="15">
        <f>Zalozenia!$B$35*(M6-L6)</f>
        <v>6.396863447943569</v>
      </c>
      <c r="N18" s="15">
        <f>Zalozenia!$B$35*(N6-M6)</f>
        <v>5.636550535273718</v>
      </c>
      <c r="O18" s="15">
        <f>Zalozenia!$B$35*(O6-N6)</f>
        <v>4.8098564567669015</v>
      </c>
      <c r="P18" s="15">
        <f>Zalozenia!$B$35*(P6-O6)</f>
        <v>4.906053585902236</v>
      </c>
    </row>
    <row r="19" spans="1:16">
      <c r="A19" s="35" t="s">
        <v>143</v>
      </c>
      <c r="B19" s="2" t="s">
        <v>25</v>
      </c>
      <c r="F19" s="39">
        <f>F14+F15-F16-F17-F18</f>
        <v>95.96970399999998</v>
      </c>
      <c r="G19" s="39">
        <f>G14+G15-G16-G17-G18</f>
        <v>105.58235975167999</v>
      </c>
      <c r="H19" s="39">
        <f>H14+H15-H16-H17-H18</f>
        <v>116.88148867787996</v>
      </c>
      <c r="I19" s="39">
        <f>I14+I15-I16-I17-I18</f>
        <v>126.50182881160862</v>
      </c>
      <c r="J19" s="39">
        <f>J14+J15-J16-J17-J18</f>
        <v>134.32567459992546</v>
      </c>
      <c r="K19" s="39">
        <f>K14+K15-K16-K17-K18</f>
        <v>140.16773536250304</v>
      </c>
      <c r="L19" s="39">
        <f>L14+L15-L16-L17-L18</f>
        <v>145.69821699418816</v>
      </c>
      <c r="M19" s="39">
        <f>M14+M15-M16-M17-M18</f>
        <v>150.85898221498783</v>
      </c>
      <c r="N19" s="39">
        <f>N14+N15-N16-N17-N18</f>
        <v>155.59384610926656</v>
      </c>
      <c r="O19" s="39">
        <f>O14+O15-O16-O17-O18</f>
        <v>159.84956702007685</v>
      </c>
      <c r="P19" s="39">
        <f>P14+P15-P16-P17-P18</f>
        <v>163.04655836047837</v>
      </c>
    </row>
    <row r="20" spans="1:16">
      <c r="A20" s="7" t="s">
        <v>144</v>
      </c>
      <c r="B20" s="2" t="s">
        <v>136</v>
      </c>
      <c r="F20" s="34">
        <f>F19/F6</f>
        <v>0.06506844106463877</v>
      </c>
      <c r="G20" s="34">
        <f>G19/G6</f>
        <v>0.06766155009451795</v>
      </c>
      <c r="H20" s="34">
        <f>H19/H6</f>
        <v>0.07133571428571425</v>
      </c>
      <c r="I20" s="34">
        <f>I19/I6</f>
        <v>0.07388253588516747</v>
      </c>
      <c r="J20" s="34">
        <f>J19/J6</f>
        <v>0.07543461538461539</v>
      </c>
      <c r="K20" s="34">
        <f>K19/K6</f>
        <v>0.07598011583011581</v>
      </c>
      <c r="L20" s="34">
        <f>L19/L6</f>
        <v>0.07652906976744185</v>
      </c>
      <c r="M20" s="34">
        <f>M19/M6</f>
        <v>0.07708151750972764</v>
      </c>
      <c r="N20" s="34">
        <f>N19/N6</f>
        <v>0.07763749999999996</v>
      </c>
      <c r="O20" s="34">
        <f>O19/O6</f>
        <v>0.0781970588235294</v>
      </c>
      <c r="P20" s="34">
        <f>P19/P6</f>
        <v>0.0781970588235294</v>
      </c>
    </row>
    <row r="22" spans="1:16">
      <c r="A22" s="3" t="s">
        <v>145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pans="1:16">
      <c r="A23" s="7" t="s">
        <v>53</v>
      </c>
      <c r="B23" s="2" t="s">
        <v>136</v>
      </c>
      <c r="C23" s="40">
        <f>Zalozenia!$B$24</f>
        <v>0.0950165</v>
      </c>
    </row>
    <row r="24" spans="1:16">
      <c r="A24" s="7" t="s">
        <v>146</v>
      </c>
      <c r="B24" s="2" t="s">
        <v>147</v>
      </c>
      <c r="C24" s="41">
        <f>Zalozenia!$B$67</f>
        <v>0</v>
      </c>
    </row>
    <row r="25" spans="1:16">
      <c r="A25" s="35" t="s">
        <v>148</v>
      </c>
      <c r="B25" s="2" t="s">
        <v>136</v>
      </c>
      <c r="C25" s="42">
        <f>C23+C24</f>
        <v>0.0950165</v>
      </c>
    </row>
    <row r="26" spans="1:16">
      <c r="A26" s="35" t="s">
        <v>99</v>
      </c>
      <c r="B26" s="2" t="s">
        <v>136</v>
      </c>
      <c r="C26" s="43">
        <f>Zalozenia!$B$68</f>
        <v>0.02</v>
      </c>
    </row>
    <row r="28" spans="1:16">
      <c r="A28" s="7" t="s">
        <v>149</v>
      </c>
      <c r="B28" s="2"/>
      <c r="F28" s="44">
        <f>MIN(1,MAX(0,(DATE(F4,12,31)-Zalozenia!$B$8)/365))</f>
        <v>0.25753424657534246</v>
      </c>
      <c r="G28" s="44">
        <v>1</v>
      </c>
      <c r="H28" s="44">
        <v>1</v>
      </c>
      <c r="I28" s="44">
        <v>1</v>
      </c>
      <c r="J28" s="44">
        <v>1</v>
      </c>
      <c r="K28" s="44">
        <v>1</v>
      </c>
      <c r="L28" s="44">
        <v>1</v>
      </c>
      <c r="M28" s="44">
        <v>1</v>
      </c>
      <c r="N28" s="44">
        <v>1</v>
      </c>
      <c r="O28" s="44">
        <v>1</v>
      </c>
    </row>
    <row r="29" spans="1:16">
      <c r="A29" s="7" t="s">
        <v>150</v>
      </c>
      <c r="B29" s="2" t="s">
        <v>151</v>
      </c>
      <c r="F29" s="44">
        <f>IF(Zalozenia!$B$38=1,F28/2,F28)</f>
        <v>0.12876712328767123</v>
      </c>
      <c r="G29" s="44">
        <f>$F$28+(G$4-$F$4)-IF(Zalozenia!$B$38=1,0.5,0)</f>
        <v>0.7575342465753425</v>
      </c>
      <c r="H29" s="44">
        <f>$F$28+(H$4-$F$4)-IF(Zalozenia!$B$38=1,0.5,0)</f>
        <v>1.7575342465753425</v>
      </c>
      <c r="I29" s="44">
        <f>$F$28+(I$4-$F$4)-IF(Zalozenia!$B$38=1,0.5,0)</f>
        <v>2.7575342465753425</v>
      </c>
      <c r="J29" s="44">
        <f>$F$28+(J$4-$F$4)-IF(Zalozenia!$B$38=1,0.5,0)</f>
        <v>3.757534246575342</v>
      </c>
      <c r="K29" s="44">
        <f>$F$28+(K$4-$F$4)-IF(Zalozenia!$B$38=1,0.5,0)</f>
        <v>4.757534246575342</v>
      </c>
      <c r="L29" s="44">
        <f>$F$28+(L$4-$F$4)-IF(Zalozenia!$B$38=1,0.5,0)</f>
        <v>5.757534246575342</v>
      </c>
      <c r="M29" s="44">
        <f>$F$28+(M$4-$F$4)-IF(Zalozenia!$B$38=1,0.5,0)</f>
        <v>6.757534246575342</v>
      </c>
      <c r="N29" s="44">
        <f>$F$28+(N$4-$F$4)-IF(Zalozenia!$B$38=1,0.5,0)</f>
        <v>7.757534246575343</v>
      </c>
      <c r="O29" s="44">
        <f>$F$28+(O$4-$F$4)-IF(Zalozenia!$B$38=1,0.5,0)</f>
        <v>8.757534246575343</v>
      </c>
    </row>
    <row r="30" spans="1:16">
      <c r="A30" s="7" t="s">
        <v>152</v>
      </c>
      <c r="B30" s="2"/>
      <c r="F30" s="45">
        <f>1/(1+$C$25)^F29</f>
        <v>0.988379922115076</v>
      </c>
      <c r="G30" s="45">
        <f>1/(1+$C$25)^G29</f>
        <v>0.9335498156754132</v>
      </c>
      <c r="H30" s="45">
        <f>1/(1+$C$25)^H29</f>
        <v>0.8525440627382448</v>
      </c>
      <c r="I30" s="45">
        <f>1/(1+$C$25)^I29</f>
        <v>0.7785673208926484</v>
      </c>
      <c r="J30" s="45">
        <f>1/(1+$C$25)^J29</f>
        <v>0.7110096705324973</v>
      </c>
      <c r="K30" s="45">
        <f>1/(1+$C$25)^K29</f>
        <v>0.6493141158443706</v>
      </c>
      <c r="L30" s="45">
        <f>1/(1+$C$25)^L29</f>
        <v>0.5929719925173462</v>
      </c>
      <c r="M30" s="45">
        <f>1/(1+$C$25)^M29</f>
        <v>0.5415187739338596</v>
      </c>
      <c r="N30" s="45">
        <f>1/(1+$C$25)^N29</f>
        <v>0.4945302412647294</v>
      </c>
      <c r="O30" s="45">
        <f>1/(1+$C$25)^O29</f>
        <v>0.4516189858917462</v>
      </c>
    </row>
    <row r="31" spans="1:16">
      <c r="A31" s="7" t="s">
        <v>153</v>
      </c>
      <c r="B31" s="2" t="s">
        <v>25</v>
      </c>
      <c r="F31" s="15">
        <f>F19*F28</f>
        <v>24.715485413698623</v>
      </c>
      <c r="G31" s="15">
        <f>G19*G28</f>
        <v>105.58235975167999</v>
      </c>
      <c r="H31" s="15">
        <f>H19*H28</f>
        <v>116.88148867787996</v>
      </c>
      <c r="I31" s="15">
        <f>I19*I28</f>
        <v>126.50182881160862</v>
      </c>
      <c r="J31" s="15">
        <f>J19*J28</f>
        <v>134.32567459992546</v>
      </c>
      <c r="K31" s="15">
        <f>K19*K28</f>
        <v>140.16773536250304</v>
      </c>
      <c r="L31" s="15">
        <f>L19*L28</f>
        <v>145.69821699418816</v>
      </c>
      <c r="M31" s="15">
        <f>M19*M28</f>
        <v>150.85898221498783</v>
      </c>
      <c r="N31" s="15">
        <f>N19*N28</f>
        <v>155.59384610926656</v>
      </c>
      <c r="O31" s="15">
        <f>O19*O28</f>
        <v>159.84956702007685</v>
      </c>
    </row>
    <row r="32" spans="1:16">
      <c r="A32" s="35" t="s">
        <v>154</v>
      </c>
      <c r="B32" s="2" t="s">
        <v>25</v>
      </c>
      <c r="F32" s="37">
        <f>F31*F30</f>
        <v>24.428289548227742</v>
      </c>
      <c r="G32" s="37">
        <f>G31*G30</f>
        <v>98.56639248475602</v>
      </c>
      <c r="H32" s="37">
        <f>H31*H30</f>
        <v>99.64661921633395</v>
      </c>
      <c r="I32" s="37">
        <f>I31*I30</f>
        <v>98.49018994587456</v>
      </c>
      <c r="J32" s="37">
        <f>J31*J30</f>
        <v>95.50685364134844</v>
      </c>
      <c r="K32" s="37">
        <f>K31*K30</f>
        <v>91.01288915681138</v>
      </c>
      <c r="L32" s="37">
        <f>L31*L30</f>
        <v>86.39496203726843</v>
      </c>
      <c r="M32" s="37">
        <f>M31*M30</f>
        <v>81.69297108597014</v>
      </c>
      <c r="N32" s="37">
        <f>N31*N30</f>
        <v>76.94586225572277</v>
      </c>
      <c r="O32" s="37">
        <f>O31*O30</f>
        <v>72.19109935284183</v>
      </c>
    </row>
    <row r="34" spans="1:16">
      <c r="A34" s="3" t="s">
        <v>155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</row>
    <row r="35" spans="1:16">
      <c r="A35" s="46" t="s">
        <v>156</v>
      </c>
      <c r="B35" s="2" t="s">
        <v>25</v>
      </c>
      <c r="C35" s="15">
        <f>P19</f>
        <v>163.04655836047837</v>
      </c>
    </row>
    <row r="36" spans="1:16">
      <c r="A36" s="46" t="s">
        <v>157</v>
      </c>
      <c r="B36" s="2"/>
      <c r="C36" s="45">
        <f>(P7-P9)*(1-Zalozenia!$B$12)+P9-Zalozenia!$B$36*P9</f>
        <v>0.08055</v>
      </c>
    </row>
    <row r="37" spans="1:16">
      <c r="A37" s="46" t="s">
        <v>158</v>
      </c>
      <c r="B37" s="2" t="s">
        <v>25</v>
      </c>
      <c r="C37" s="15">
        <f>C35/($C$25-$C$26)</f>
        <v>2173.475946764757</v>
      </c>
    </row>
    <row r="38" spans="1:16">
      <c r="A38" s="46" t="s">
        <v>159</v>
      </c>
      <c r="B38" s="2"/>
      <c r="C38" s="45">
        <f>O30</f>
        <v>0.4516189858917462</v>
      </c>
    </row>
    <row r="39" spans="1:16">
      <c r="A39" s="35" t="s">
        <v>160</v>
      </c>
      <c r="B39" s="2" t="s">
        <v>25</v>
      </c>
      <c r="C39" s="39">
        <f>C37*C38</f>
        <v>981.5830029380024</v>
      </c>
    </row>
    <row r="40" spans="1:16">
      <c r="A40" s="46" t="s">
        <v>161</v>
      </c>
      <c r="B40" s="2" t="s">
        <v>162</v>
      </c>
      <c r="C40" s="47">
        <f>C37*(1+$C$25)^(0.5*Zalozenia!$B$38)/O8</f>
        <v>7.417419901631921</v>
      </c>
    </row>
    <row r="41" spans="1:16">
      <c r="A41" s="46" t="s">
        <v>163</v>
      </c>
      <c r="B41" s="2" t="s">
        <v>162</v>
      </c>
      <c r="C41" s="48">
        <f>Zalozenia!$B$39</f>
        <v>6.5</v>
      </c>
    </row>
    <row r="42" spans="1:16">
      <c r="A42" s="46" t="s">
        <v>164</v>
      </c>
      <c r="B42" s="2" t="s">
        <v>25</v>
      </c>
      <c r="C42" s="15">
        <f>C41*O8/(1+$C$25)^(O29+0.5*Zalozenia!$B$38)</f>
        <v>860.1763960664106</v>
      </c>
    </row>
    <row r="43" spans="1:16">
      <c r="A43" s="46" t="s">
        <v>165</v>
      </c>
      <c r="B43" s="2" t="s">
        <v>136</v>
      </c>
      <c r="C43" s="28">
        <f>IF((P16+P17-P10+P18)&gt;0,$C$26*P14/(P16+P17-P10+P18),"n/d")</f>
        <v>0.24821459227467807</v>
      </c>
    </row>
    <row r="44" spans="1:16">
      <c r="A44" s="46" t="s">
        <v>166</v>
      </c>
      <c r="B44" s="2" t="s">
        <v>136</v>
      </c>
      <c r="C44" s="28">
        <f>IF((SUM(F16:N16)+SUM(F17:N17)-SUM(F10:N10)+SUM(F18:N18))&gt;0,(O11-F11)*(1-Zalozenia!$B$12)/(SUM(F16:N16)+SUM(F17:N17)-SUM(F10:N10)+SUM(F18:N18)),"n/d")</f>
        <v>0.31717472791734286</v>
      </c>
    </row>
    <row r="45" spans="1:16">
      <c r="A45" s="46" t="s">
        <v>167</v>
      </c>
      <c r="B45" s="2" t="s">
        <v>136</v>
      </c>
      <c r="C45" s="34">
        <f>SUM(K32:O32)/C50</f>
        <v>0.22598783262412428</v>
      </c>
    </row>
    <row r="47" spans="1:16">
      <c r="A47" s="3" t="s">
        <v>168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</row>
    <row r="48" spans="1:16">
      <c r="A48" s="46" t="s">
        <v>169</v>
      </c>
      <c r="B48" s="2" t="s">
        <v>25</v>
      </c>
      <c r="C48" s="15">
        <f>SUM(F32:O32)</f>
        <v>824.8761287251552</v>
      </c>
    </row>
    <row r="49" spans="1:16">
      <c r="A49" s="46" t="s">
        <v>170</v>
      </c>
      <c r="B49" s="2" t="s">
        <v>25</v>
      </c>
      <c r="C49" s="15">
        <f>C39</f>
        <v>981.5830029380024</v>
      </c>
    </row>
    <row r="50" spans="1:16">
      <c r="A50" s="35" t="s">
        <v>171</v>
      </c>
      <c r="B50" s="2" t="s">
        <v>25</v>
      </c>
      <c r="C50" s="39">
        <f>C48+C49</f>
        <v>1806.4591316631577</v>
      </c>
    </row>
    <row r="51" spans="1:16">
      <c r="A51" s="46" t="s">
        <v>172</v>
      </c>
      <c r="B51" s="2" t="s">
        <v>136</v>
      </c>
      <c r="C51" s="34">
        <f>C49/C50</f>
        <v>0.5433740435823121</v>
      </c>
    </row>
    <row r="52" spans="1:16">
      <c r="A52" s="46" t="s">
        <v>173</v>
      </c>
      <c r="B52" s="2" t="s">
        <v>25</v>
      </c>
      <c r="C52" s="49">
        <f>Zalozenia!$B$32</f>
        <v>250.0</v>
      </c>
    </row>
    <row r="53" spans="1:16">
      <c r="A53" s="35" t="s">
        <v>174</v>
      </c>
      <c r="B53" s="2" t="s">
        <v>25</v>
      </c>
      <c r="C53" s="39">
        <f>C50-C52</f>
        <v>1556.4591316631577</v>
      </c>
    </row>
    <row r="54" spans="1:16">
      <c r="A54" s="46" t="s">
        <v>175</v>
      </c>
      <c r="B54" s="2" t="s">
        <v>176</v>
      </c>
      <c r="C54" s="50">
        <f>Zalozenia!$B$10</f>
        <v>24.4</v>
      </c>
    </row>
    <row r="55" spans="1:16">
      <c r="A55" s="35" t="s">
        <v>177</v>
      </c>
      <c r="B55" s="2" t="s">
        <v>178</v>
      </c>
      <c r="C55" s="51">
        <f>C53/C54</f>
        <v>63.78930867471958</v>
      </c>
    </row>
    <row r="56" spans="1:16">
      <c r="A56" s="46" t="s">
        <v>179</v>
      </c>
      <c r="B56" s="2" t="s">
        <v>178</v>
      </c>
      <c r="C56" s="50">
        <f>Zalozenia!$B$9</f>
        <v>44</v>
      </c>
    </row>
    <row r="57" spans="1:16">
      <c r="A57" s="46" t="s">
        <v>180</v>
      </c>
      <c r="B57" s="2" t="s">
        <v>136</v>
      </c>
      <c r="C57" s="34">
        <f>C55/C56-1</f>
        <v>0.4497570153345358</v>
      </c>
    </row>
    <row r="58" spans="1:16">
      <c r="A58" s="46" t="s">
        <v>181</v>
      </c>
      <c r="B58" s="2" t="s">
        <v>162</v>
      </c>
      <c r="C58" s="47">
        <f>C50/F8</f>
        <v>8.44688117942338</v>
      </c>
    </row>
    <row r="59" spans="1:16">
      <c r="A59" s="46" t="s">
        <v>182</v>
      </c>
      <c r="B59" s="2" t="s">
        <v>178</v>
      </c>
      <c r="C59" s="52">
        <f>(C48+C42-C52)/C54</f>
        <v>58.81362806522811</v>
      </c>
    </row>
    <row r="60" spans="1:16">
      <c r="A60" s="35" t="s">
        <v>183</v>
      </c>
      <c r="B60" s="2" t="s">
        <v>136</v>
      </c>
      <c r="C60" s="53">
        <f>IF(C56&gt;$B$80,"poniżej "&amp;SUBSTITUTE(ROUND($A$80*100,2)&amp;"%",".",","),IF(C56&lt;$B$128,"powyżej "&amp;SUBSTITUTE(ROUND($A$128*100,2)&amp;"%",".",","),INDEX($A$80:$A$128,MATCH(C56,$B$80:$B$128,-1))+(INDEX($B$80:$B$128,MATCH(C56,$B$80:$B$128,-1))-C56)/(INDEX($B$80:$B$128,MATCH(C56,$B$80:$B$128,-1))-INDEX($B$80:$B$128,MATCH(C56,$B$80:$B$128,-1)+1))*0.0025))</f>
        <v>0.12223971767490142</v>
      </c>
    </row>
    <row r="62" spans="1:16">
      <c r="A62" s="3" t="s">
        <v>184</v>
      </c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</row>
    <row r="63" spans="1:16">
      <c r="A63" s="54" t="s">
        <v>185</v>
      </c>
      <c r="C63" s="55">
        <f>$C$26+(-2)*Zalozenia!$B$42</f>
        <v>0.01</v>
      </c>
      <c r="D63" s="55">
        <f>$C$26+(-1)*Zalozenia!$B$42</f>
        <v>0.015</v>
      </c>
      <c r="E63" s="55">
        <f>$C$26+(0)*Zalozenia!$B$42</f>
        <v>0.02</v>
      </c>
      <c r="F63" s="55">
        <f>$C$26+(1)*Zalozenia!$B$42</f>
        <v>0.025</v>
      </c>
      <c r="G63" s="55">
        <f>$C$26+(2)*Zalozenia!$B$42</f>
        <v>0.03</v>
      </c>
    </row>
    <row r="64" spans="1:16">
      <c r="B64" s="55">
        <f>$C$25+(-2)*Zalozenia!$B$41</f>
        <v>0.08501650000000001</v>
      </c>
      <c r="C64" s="56">
        <f>(SUMPRODUCT(($F$31:$O$31)/(1+$B64)^$F$29:$O$29)+$O$6*((1+C$63)*$C$36-Zalozenia!$B$35*C$63)/($B64-C$63)/(1+$B64)^$O$29-C52)/C54</f>
        <v>68.75962046365449</v>
      </c>
      <c r="D64" s="56">
        <f>(SUMPRODUCT(($F$31:$O$31)/(1+$B64)^$F$29:$O$29)+$O$6*((1+D$63)*$C$36-Zalozenia!$B$35*D$63)/($B64-D$63)/(1+$B64)^$O$29-C52)/C54</f>
        <v>71.77265701052195</v>
      </c>
      <c r="E64" s="56">
        <f>(SUMPRODUCT(($F$31:$O$31)/(1+$B64)^$F$29:$O$29)+$O$6*((1+E$63)*$C$36-Zalozenia!$B$35*E$63)/($B64-E$63)/(1+$B64)^$O$29-C52)/C54</f>
        <v>75.24912000250215</v>
      </c>
      <c r="F64" s="56">
        <f>(SUMPRODUCT(($F$31:$O$31)/(1+$B64)^$F$29:$O$29)+$O$6*((1+F$63)*$C$36-Zalozenia!$B$35*F$63)/($B64-F$63)/(1+$B64)^$O$29-C52)/C54</f>
        <v>79.30483419906449</v>
      </c>
      <c r="G64" s="56">
        <f>(SUMPRODUCT(($F$31:$O$31)/(1+$B64)^$F$29:$O$29)+$O$6*((1+G$63)*$C$36-Zalozenia!$B$35*G$63)/($B64-G$63)/(1+$B64)^$O$29-C52)/C54</f>
        <v>84.09772982239193</v>
      </c>
    </row>
    <row r="65" spans="1:16">
      <c r="B65" s="55">
        <f>$C$25+(-1)*Zalozenia!$B$41</f>
        <v>0.0900165</v>
      </c>
      <c r="C65" s="56">
        <f>(SUMPRODUCT(($F$31:$O$31)/(1+$B65)^$F$29:$O$29)+$O$6*((1+C$63)*$C$36-Zalozenia!$B$35*C$63)/($B65-C$63)/(1+$B65)^$O$29-C52)/C54</f>
        <v>63.6955296740468</v>
      </c>
      <c r="D65" s="56">
        <f>(SUMPRODUCT(($F$31:$O$31)/(1+$B65)^$F$29:$O$29)+$O$6*((1+D$63)*$C$36-Zalozenia!$B$35*D$63)/($B65-D$63)/(1+$B65)^$O$29-C52)/C54</f>
        <v>66.22149682301098</v>
      </c>
      <c r="E65" s="56">
        <f>(SUMPRODUCT(($F$31:$O$31)/(1+$B65)^$F$29:$O$29)+$O$6*((1+E$63)*$C$36-Zalozenia!$B$35*E$63)/($B65-E$63)/(1+$B65)^$O$29-C52)/C54</f>
        <v>69.1082313837944</v>
      </c>
      <c r="F65" s="56">
        <f>(SUMPRODUCT(($F$31:$O$31)/(1+$B65)^$F$29:$O$29)+$O$6*((1+F$63)*$C$36-Zalozenia!$B$35*F$63)/($B65-F$63)/(1+$B65)^$O$29-C52)/C54</f>
        <v>72.43896624616025</v>
      </c>
      <c r="G65" s="56">
        <f>(SUMPRODUCT(($F$31:$O$31)/(1+$B65)^$F$29:$O$29)+$O$6*((1+G$63)*$C$36-Zalozenia!$B$35*G$63)/($B65-G$63)/(1+$B65)^$O$29-C52)/C54</f>
        <v>76.32467096887545</v>
      </c>
    </row>
    <row r="66" spans="1:16">
      <c r="B66" s="55">
        <f>$C$25+(0)*Zalozenia!$B$41</f>
        <v>0.0950165</v>
      </c>
      <c r="C66" s="56">
        <f>(SUMPRODUCT(($F$31:$O$31)/(1+$B66)^$F$29:$O$29)+$O$6*((1+C$63)*$C$36-Zalozenia!$B$35*C$63)/($B66-C$63)/(1+$B66)^$O$29-C52)/C54</f>
        <v>59.23299459409535</v>
      </c>
      <c r="D66" s="56">
        <f>(SUMPRODUCT(($F$31:$O$31)/(1+$B66)^$F$29:$O$29)+$O$6*((1+D$63)*$C$36-Zalozenia!$B$35*D$63)/($B66-D$63)/(1+$B66)^$O$29-C52)/C54</f>
        <v>61.36879618020039</v>
      </c>
      <c r="E66" s="57">
        <f>(SUMPRODUCT(($F$31:$O$31)/(1+$B66)^$F$29:$O$29)+$O$6*((1+E$63)*$C$36-Zalozenia!$B$35*E$63)/($B66-E$63)/(1+$B66)^$O$29-C52)/C54</f>
        <v>63.78930867471958</v>
      </c>
      <c r="F66" s="56">
        <f>(SUMPRODUCT(($F$31:$O$31)/(1+$B66)^$F$29:$O$29)+$O$6*((1+F$63)*$C$36-Zalozenia!$B$35*F$63)/($B66-F$63)/(1+$B66)^$O$29-C52)/C54</f>
        <v>66.55552718061023</v>
      </c>
      <c r="G66" s="56">
        <f>(SUMPRODUCT(($F$31:$O$31)/(1+$B66)^$F$29:$O$29)+$O$6*((1+G$63)*$C$36-Zalozenia!$B$35*G$63)/($B66-G$63)/(1+$B66)^$O$29-C52)/C54</f>
        <v>69.74720976191111</v>
      </c>
    </row>
    <row r="67" spans="1:16">
      <c r="B67" s="55">
        <f>$C$25+(1)*Zalozenia!$B$41</f>
        <v>0.10001650000000001</v>
      </c>
      <c r="C67" s="56">
        <f>(SUMPRODUCT(($F$31:$O$31)/(1+$B67)^$F$29:$O$29)+$O$6*((1+C$63)*$C$36-Zalozenia!$B$35*C$63)/($B67-C$63)/(1+$B67)^$O$29-C52)/C54</f>
        <v>55.27157290272585</v>
      </c>
      <c r="D67" s="56">
        <f>(SUMPRODUCT(($F$31:$O$31)/(1+$B67)^$F$29:$O$29)+$O$6*((1+D$63)*$C$36-Zalozenia!$B$35*D$63)/($B67-D$63)/(1+$B67)^$O$29-C52)/C54</f>
        <v>57.09116649237674</v>
      </c>
      <c r="E67" s="56">
        <f>(SUMPRODUCT(($F$31:$O$31)/(1+$B67)^$F$29:$O$29)+$O$6*((1+E$63)*$C$36-Zalozenia!$B$35*E$63)/($B67-E$63)/(1+$B67)^$O$29-C52)/C54</f>
        <v>59.13816237901024</v>
      </c>
      <c r="F67" s="56">
        <f>(SUMPRODUCT(($F$31:$O$31)/(1+$B67)^$F$29:$O$29)+$O$6*((1+F$63)*$C$36-Zalozenia!$B$35*F$63)/($B67-F$63)/(1+$B67)^$O$29-C52)/C54</f>
        <v>61.458031018522554</v>
      </c>
      <c r="G67" s="56">
        <f>(SUMPRODUCT(($F$31:$O$31)/(1+$B67)^$F$29:$O$29)+$O$6*((1+G$63)*$C$36-Zalozenia!$B$35*G$63)/($B67-G$63)/(1+$B67)^$O$29-C52)/C54</f>
        <v>64.10923136406305</v>
      </c>
    </row>
    <row r="68" spans="1:16">
      <c r="B68" s="55">
        <f>$C$25+(2)*Zalozenia!$B$41</f>
        <v>0.1050165</v>
      </c>
      <c r="C68" s="56">
        <f>(SUMPRODUCT(($F$31:$O$31)/(1+$B68)^$F$29:$O$29)+$O$6*((1+C$63)*$C$36-Zalozenia!$B$35*C$63)/($B68-C$63)/(1+$B68)^$O$29-C52)/C54</f>
        <v>51.73197243314093</v>
      </c>
      <c r="D68" s="56">
        <f>(SUMPRODUCT(($F$31:$O$31)/(1+$B68)^$F$29:$O$29)+$O$6*((1+D$63)*$C$36-Zalozenia!$B$35*D$63)/($B68-D$63)/(1+$B68)^$O$29-C52)/C54</f>
        <v>53.29263982671351</v>
      </c>
      <c r="E68" s="56">
        <f>(SUMPRODUCT(($F$31:$O$31)/(1+$B68)^$F$29:$O$29)+$O$6*((1+E$63)*$C$36-Zalozenia!$B$35*E$63)/($B68-E$63)/(1+$B68)^$O$29-C52)/C54</f>
        <v>55.0368795143199</v>
      </c>
      <c r="F68" s="56">
        <f>(SUMPRODUCT(($F$31:$O$31)/(1+$B68)^$F$29:$O$29)+$O$6*((1+F$63)*$C$36-Zalozenia!$B$35*F$63)/($B68-F$63)/(1+$B68)^$O$29-C52)/C54</f>
        <v>56.999104203470495</v>
      </c>
      <c r="G68" s="56">
        <f>(SUMPRODUCT(($F$31:$O$31)/(1+$B68)^$F$29:$O$29)+$O$6*((1+G$63)*$C$36-Zalozenia!$B$35*G$63)/($B68-G$63)/(1+$B68)^$O$29-C52)/C54</f>
        <v>59.22290130524373</v>
      </c>
    </row>
    <row r="70" spans="1:16">
      <c r="A70" s="3" t="s">
        <v>186</v>
      </c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</row>
    <row r="71" spans="1:16">
      <c r="A71" s="54" t="s">
        <v>187</v>
      </c>
      <c r="C71" s="58">
        <f>(-2)*Zalozenia!$B$43</f>
        <v>-0.02</v>
      </c>
      <c r="D71" s="58">
        <f>(-1)*Zalozenia!$B$43</f>
        <v>-0.01</v>
      </c>
      <c r="E71" s="58">
        <f>(0)*Zalozenia!$B$43</f>
        <v>0.0</v>
      </c>
      <c r="F71" s="58">
        <f>(1)*Zalozenia!$B$43</f>
        <v>0.01</v>
      </c>
      <c r="G71" s="58">
        <f>(2)*Zalozenia!$B$43</f>
        <v>0.02</v>
      </c>
    </row>
    <row r="72" spans="1:16">
      <c r="B72" s="55">
        <f>$C$25+(-2)*Zalozenia!$B$41</f>
        <v>0.08501650000000001</v>
      </c>
      <c r="C72" s="56">
        <f>(SUMPRODUCT(($F$31:$O$31+C$71*$F$6:$O$6*(1-$F$12:$O$12)*$F$28:$O$28)/(1+$B72)^$F$29:$O$29)+$O$6*((1+$C$26)*($C$36+C$71*(1-Zalozenia!$B$12))-Zalozenia!$B$35*$C$26)/($B72-$C$26)/(1+$B72)^$O$29-C52)/C54</f>
        <v>57.14442718511032</v>
      </c>
      <c r="D72" s="56">
        <f>(SUMPRODUCT(($F$31:$O$31+D$71*$F$6:$O$6*(1-$F$12:$O$12)*$F$28:$O$28)/(1+$B72)^$F$29:$O$29)+$O$6*((1+$C$26)*($C$36+D$71*(1-Zalozenia!$B$12))-Zalozenia!$B$35*$C$26)/($B72-$C$26)/(1+$B72)^$O$29-C52)/C54</f>
        <v>66.19677359380624</v>
      </c>
      <c r="E72" s="56">
        <f>(SUMPRODUCT(($F$31:$O$31+E$71*$F$6:$O$6*(1-$F$12:$O$12)*$F$28:$O$28)/(1+$B72)^$F$29:$O$29)+$O$6*((1+$C$26)*($C$36+E$71*(1-Zalozenia!$B$12))-Zalozenia!$B$35*$C$26)/($B72-$C$26)/(1+$B72)^$O$29-C52)/C54</f>
        <v>75.24912000250215</v>
      </c>
      <c r="F72" s="56">
        <f>(SUMPRODUCT(($F$31:$O$31+F$71*$F$6:$O$6*(1-$F$12:$O$12)*$F$28:$O$28)/(1+$B72)^$F$29:$O$29)+$O$6*((1+$C$26)*($C$36+F$71*(1-Zalozenia!$B$12))-Zalozenia!$B$35*$C$26)/($B72-$C$26)/(1+$B72)^$O$29-C52)/C54</f>
        <v>84.30146641119809</v>
      </c>
      <c r="G72" s="56">
        <f>(SUMPRODUCT(($F$31:$O$31+G$71*$F$6:$O$6*(1-$F$12:$O$12)*$F$28:$O$28)/(1+$B72)^$F$29:$O$29)+$O$6*((1+$C$26)*($C$36+G$71*(1-Zalozenia!$B$12))-Zalozenia!$B$35*$C$26)/($B72-$C$26)/(1+$B72)^$O$29-C52)/C54</f>
        <v>93.35381281989403</v>
      </c>
    </row>
    <row r="73" spans="1:16">
      <c r="B73" s="55">
        <f>$C$25+(-1)*Zalozenia!$B$41</f>
        <v>0.0900165</v>
      </c>
      <c r="C73" s="56">
        <f>(SUMPRODUCT(($F$31:$O$31+C$71*$F$6:$O$6*(1-$F$12:$O$12)*$F$28:$O$28)/(1+$B73)^$F$29:$O$29)+$O$6*((1+$C$26)*($C$36+C$71*(1-Zalozenia!$B$12))-Zalozenia!$B$35*$C$26)/($B73-$C$26)/(1+$B73)^$O$29-C52)/C54</f>
        <v>52.27949759079733</v>
      </c>
      <c r="D73" s="56">
        <f>(SUMPRODUCT(($F$31:$O$31+D$71*$F$6:$O$6*(1-$F$12:$O$12)*$F$28:$O$28)/(1+$B73)^$F$29:$O$29)+$O$6*((1+$C$26)*($C$36+D$71*(1-Zalozenia!$B$12))-Zalozenia!$B$35*$C$26)/($B73-$C$26)/(1+$B73)^$O$29-C52)/C54</f>
        <v>60.69386448729588</v>
      </c>
      <c r="E73" s="56">
        <f>(SUMPRODUCT(($F$31:$O$31+E$71*$F$6:$O$6*(1-$F$12:$O$12)*$F$28:$O$28)/(1+$B73)^$F$29:$O$29)+$O$6*((1+$C$26)*($C$36+E$71*(1-Zalozenia!$B$12))-Zalozenia!$B$35*$C$26)/($B73-$C$26)/(1+$B73)^$O$29-C52)/C54</f>
        <v>69.1082313837944</v>
      </c>
      <c r="F73" s="56">
        <f>(SUMPRODUCT(($F$31:$O$31+F$71*$F$6:$O$6*(1-$F$12:$O$12)*$F$28:$O$28)/(1+$B73)^$F$29:$O$29)+$O$6*((1+$C$26)*($C$36+F$71*(1-Zalozenia!$B$12))-Zalozenia!$B$35*$C$26)/($B73-$C$26)/(1+$B73)^$O$29-C52)/C54</f>
        <v>77.52259828029294</v>
      </c>
      <c r="G73" s="56">
        <f>(SUMPRODUCT(($F$31:$O$31+G$71*$F$6:$O$6*(1-$F$12:$O$12)*$F$28:$O$28)/(1+$B73)^$F$29:$O$29)+$O$6*((1+$C$26)*($C$36+G$71*(1-Zalozenia!$B$12))-Zalozenia!$B$35*$C$26)/($B73-$C$26)/(1+$B73)^$O$29-C52)/C54</f>
        <v>85.9369651767915</v>
      </c>
    </row>
    <row r="74" spans="1:16">
      <c r="B74" s="55">
        <f>$C$25+(0)*Zalozenia!$B$41</f>
        <v>0.0950165</v>
      </c>
      <c r="C74" s="56">
        <f>(SUMPRODUCT(($F$31:$O$31+C$71*$F$6:$O$6*(1-$F$12:$O$12)*$F$28:$O$28)/(1+$B74)^$F$29:$O$29)+$O$6*((1+$C$26)*($C$36+C$71*(1-Zalozenia!$B$12))-Zalozenia!$B$35*$C$26)/($B74-$C$26)/(1+$B74)^$O$29-C52)/C54</f>
        <v>48.066168695301165</v>
      </c>
      <c r="D74" s="56">
        <f>(SUMPRODUCT(($F$31:$O$31+D$71*$F$6:$O$6*(1-$F$12:$O$12)*$F$28:$O$28)/(1+$B74)^$F$29:$O$29)+$O$6*((1+$C$26)*($C$36+D$71*(1-Zalozenia!$B$12))-Zalozenia!$B$35*$C$26)/($B74-$C$26)/(1+$B74)^$O$29-C52)/C54</f>
        <v>55.92773868501038</v>
      </c>
      <c r="E74" s="57">
        <f>(SUMPRODUCT(($F$31:$O$31+E$71*$F$6:$O$6*(1-$F$12:$O$12)*$F$28:$O$28)/(1+$B74)^$F$29:$O$29)+$O$6*((1+$C$26)*($C$36+E$71*(1-Zalozenia!$B$12))-Zalozenia!$B$35*$C$26)/($B74-$C$26)/(1+$B74)^$O$29-C52)/C54</f>
        <v>63.78930867471958</v>
      </c>
      <c r="F74" s="56">
        <f>(SUMPRODUCT(($F$31:$O$31+F$71*$F$6:$O$6*(1-$F$12:$O$12)*$F$28:$O$28)/(1+$B74)^$F$29:$O$29)+$O$6*((1+$C$26)*($C$36+F$71*(1-Zalozenia!$B$12))-Zalozenia!$B$35*$C$26)/($B74-$C$26)/(1+$B74)^$O$29-C52)/C54</f>
        <v>71.65087866442879</v>
      </c>
      <c r="G74" s="56">
        <f>(SUMPRODUCT(($F$31:$O$31+G$71*$F$6:$O$6*(1-$F$12:$O$12)*$F$28:$O$28)/(1+$B74)^$F$29:$O$29)+$O$6*((1+$C$26)*($C$36+G$71*(1-Zalozenia!$B$12))-Zalozenia!$B$35*$C$26)/($B74-$C$26)/(1+$B74)^$O$29-C52)/C54</f>
        <v>79.512448654138</v>
      </c>
    </row>
    <row r="75" spans="1:16">
      <c r="B75" s="55">
        <f>$C$25+(1)*Zalozenia!$B$41</f>
        <v>0.10001650000000001</v>
      </c>
      <c r="C75" s="56">
        <f>(SUMPRODUCT(($F$31:$O$31+C$71*$F$6:$O$6*(1-$F$12:$O$12)*$F$28:$O$28)/(1+$B75)^$F$29:$O$29)+$O$6*((1+$C$26)*($C$36+C$71*(1-Zalozenia!$B$12))-Zalozenia!$B$35*$C$26)/($B75-$C$26)/(1+$B75)^$O$29-C52)/C54</f>
        <v>44.38219661763321</v>
      </c>
      <c r="D75" s="56">
        <f>(SUMPRODUCT(($F$31:$O$31+D$71*$F$6:$O$6*(1-$F$12:$O$12)*$F$28:$O$28)/(1+$B75)^$F$29:$O$29)+$O$6*((1+$C$26)*($C$36+D$71*(1-Zalozenia!$B$12))-Zalozenia!$B$35*$C$26)/($B75-$C$26)/(1+$B75)^$O$29-C52)/C54</f>
        <v>51.760179498321726</v>
      </c>
      <c r="E75" s="56">
        <f>(SUMPRODUCT(($F$31:$O$31+E$71*$F$6:$O$6*(1-$F$12:$O$12)*$F$28:$O$28)/(1+$B75)^$F$29:$O$29)+$O$6*((1+$C$26)*($C$36+E$71*(1-Zalozenia!$B$12))-Zalozenia!$B$35*$C$26)/($B75-$C$26)/(1+$B75)^$O$29-C52)/C54</f>
        <v>59.13816237901024</v>
      </c>
      <c r="F75" s="56">
        <f>(SUMPRODUCT(($F$31:$O$31+F$71*$F$6:$O$6*(1-$F$12:$O$12)*$F$28:$O$28)/(1+$B75)^$F$29:$O$29)+$O$6*((1+$C$26)*($C$36+F$71*(1-Zalozenia!$B$12))-Zalozenia!$B$35*$C$26)/($B75-$C$26)/(1+$B75)^$O$29-C52)/C54</f>
        <v>66.51614525969873</v>
      </c>
      <c r="G75" s="56">
        <f>(SUMPRODUCT(($F$31:$O$31+G$71*$F$6:$O$6*(1-$F$12:$O$12)*$F$28:$O$28)/(1+$B75)^$F$29:$O$29)+$O$6*((1+$C$26)*($C$36+G$71*(1-Zalozenia!$B$12))-Zalozenia!$B$35*$C$26)/($B75-$C$26)/(1+$B75)^$O$29-C52)/C54</f>
        <v>73.89412814038724</v>
      </c>
    </row>
    <row r="76" spans="1:16">
      <c r="B76" s="55">
        <f>$C$25+(2)*Zalozenia!$B$41</f>
        <v>0.1050165</v>
      </c>
      <c r="C76" s="56">
        <f>(SUMPRODUCT(($F$31:$O$31+C$71*$F$6:$O$6*(1-$F$12:$O$12)*$F$28:$O$28)/(1+$B76)^$F$29:$O$29)+$O$6*((1+$C$26)*($C$36+C$71*(1-Zalozenia!$B$12))-Zalozenia!$B$35*$C$26)/($B76-$C$26)/(1+$B76)^$O$29-C52)/C54</f>
        <v>41.134098539132914</v>
      </c>
      <c r="D76" s="56">
        <f>(SUMPRODUCT(($F$31:$O$31+D$71*$F$6:$O$6*(1-$F$12:$O$12)*$F$28:$O$28)/(1+$B76)^$F$29:$O$29)+$O$6*((1+$C$26)*($C$36+D$71*(1-Zalozenia!$B$12))-Zalozenia!$B$35*$C$26)/($B76-$C$26)/(1+$B76)^$O$29-C52)/C54</f>
        <v>48.085489026726414</v>
      </c>
      <c r="E76" s="56">
        <f>(SUMPRODUCT(($F$31:$O$31+E$71*$F$6:$O$6*(1-$F$12:$O$12)*$F$28:$O$28)/(1+$B76)^$F$29:$O$29)+$O$6*((1+$C$26)*($C$36+E$71*(1-Zalozenia!$B$12))-Zalozenia!$B$35*$C$26)/($B76-$C$26)/(1+$B76)^$O$29-C52)/C54</f>
        <v>55.0368795143199</v>
      </c>
      <c r="F76" s="56">
        <f>(SUMPRODUCT(($F$31:$O$31+F$71*$F$6:$O$6*(1-$F$12:$O$12)*$F$28:$O$28)/(1+$B76)^$F$29:$O$29)+$O$6*((1+$C$26)*($C$36+F$71*(1-Zalozenia!$B$12))-Zalozenia!$B$35*$C$26)/($B76-$C$26)/(1+$B76)^$O$29-C52)/C54</f>
        <v>61.98827000191338</v>
      </c>
      <c r="G76" s="56">
        <f>(SUMPRODUCT(($F$31:$O$31+G$71*$F$6:$O$6*(1-$F$12:$O$12)*$F$28:$O$28)/(1+$B76)^$F$29:$O$29)+$O$6*((1+$C$26)*($C$36+G$71*(1-Zalozenia!$B$12))-Zalozenia!$B$35*$C$26)/($B76-$C$26)/(1+$B76)^$O$29-C52)/C54</f>
        <v>68.93966048950686</v>
      </c>
    </row>
    <row r="78" spans="1:16">
      <c r="A78" s="3" t="s">
        <v>188</v>
      </c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</row>
    <row r="79" spans="1:16">
      <c r="A79" s="35" t="s">
        <v>189</v>
      </c>
      <c r="B79" s="35" t="s">
        <v>190</v>
      </c>
    </row>
    <row r="80" spans="1:16">
      <c r="A80" s="59">
        <f>$C$26+0.005+0.0025*0</f>
        <v>0.025</v>
      </c>
      <c r="B80" s="52">
        <f>(SUMPRODUCT(($F$31:$O$31)/(1+$A80)^$F$29:$O$29)+$O$6*((1+$C$26)*$C$36-Zalozenia!$B$35*$C$26)/($A80-$C$26)/(1+$A80)^$O$29-C52)/C54</f>
        <v>1112.078253847138</v>
      </c>
    </row>
    <row r="81" spans="1:2">
      <c r="A81" s="59">
        <f>$C$26+0.005+0.0025*1</f>
        <v>0.0275</v>
      </c>
      <c r="B81" s="52">
        <f>(SUMPRODUCT(($F$31:$O$31)/(1+$A81)^$F$29:$O$29)+$O$6*((1+$C$26)*$C$36-Zalozenia!$B$35*$C$26)/($A81-$C$26)/(1+$A81)^$O$29-C52)/C54</f>
        <v>737.54428794019</v>
      </c>
    </row>
    <row r="82" spans="1:2">
      <c r="A82" s="59">
        <f>$C$26+0.005+0.0025*2</f>
        <v>0.030000000000000002</v>
      </c>
      <c r="B82" s="52">
        <f>(SUMPRODUCT(($F$31:$O$31)/(1+$A82)^$F$29:$O$29)+$O$6*((1+$C$26)*$C$36-Zalozenia!$B$35*$C$26)/($A82-$C$26)/(1+$A82)^$O$29-C52)/C54</f>
        <v>550.287005701462</v>
      </c>
    </row>
    <row r="83" spans="1:2">
      <c r="A83" s="59">
        <f>$C$26+0.005+0.0025*3</f>
        <v>0.0325</v>
      </c>
      <c r="B83" s="52">
        <f>(SUMPRODUCT(($F$31:$O$31)/(1+$A83)^$F$29:$O$29)+$O$6*((1+$C$26)*$C$36-Zalozenia!$B$35*$C$26)/($A83-$C$26)/(1+$A83)^$O$29-C52)/C54</f>
        <v>437.94025933594685</v>
      </c>
    </row>
    <row r="84" spans="1:2">
      <c r="A84" s="59">
        <f>$C$26+0.005+0.0025*4</f>
        <v>0.035</v>
      </c>
      <c r="B84" s="52">
        <f>(SUMPRODUCT(($F$31:$O$31)/(1+$A84)^$F$29:$O$29)+$O$6*((1+$C$26)*$C$36-Zalozenia!$B$35*$C$26)/($A84-$C$26)/(1+$A84)^$O$29-C52)/C54</f>
        <v>363.04866862992674</v>
      </c>
    </row>
    <row r="85" spans="1:2">
      <c r="A85" s="59">
        <f>$C$26+0.005+0.0025*5</f>
        <v>0.037500000000000006</v>
      </c>
      <c r="B85" s="52">
        <f>(SUMPRODUCT(($F$31:$O$31)/(1+$A85)^$F$29:$O$29)+$O$6*((1+$C$26)*$C$36-Zalozenia!$B$35*$C$26)/($A85-$C$26)/(1+$A85)^$O$29-C52)/C54</f>
        <v>309.5599297726505</v>
      </c>
    </row>
    <row r="86" spans="1:2">
      <c r="A86" s="59">
        <f>$C$26+0.005+0.0025*6</f>
        <v>0.04</v>
      </c>
      <c r="B86" s="52">
        <f>(SUMPRODUCT(($F$31:$O$31)/(1+$A86)^$F$29:$O$29)+$O$6*((1+$C$26)*$C$36-Zalozenia!$B$35*$C$26)/($A86-$C$26)/(1+$A86)^$O$29-C52)/C54</f>
        <v>269.4478925628991</v>
      </c>
    </row>
    <row r="87" spans="1:2">
      <c r="A87" s="59">
        <f>$C$26+0.005+0.0025*7</f>
        <v>0.0425</v>
      </c>
      <c r="B87" s="52">
        <f>(SUMPRODUCT(($F$31:$O$31)/(1+$A87)^$F$29:$O$29)+$O$6*((1+$C$26)*$C$36-Zalozenia!$B$35*$C$26)/($A87-$C$26)/(1+$A87)^$O$29-C52)/C54</f>
        <v>238.25358614549222</v>
      </c>
    </row>
    <row r="88" spans="1:2">
      <c r="A88" s="59">
        <f>$C$26+0.005+0.0025*8</f>
        <v>0.045</v>
      </c>
      <c r="B88" s="52">
        <f>(SUMPRODUCT(($F$31:$O$31)/(1+$A88)^$F$29:$O$29)+$O$6*((1+$C$26)*$C$36-Zalozenia!$B$35*$C$26)/($A88-$C$26)/(1+$A88)^$O$29-C52)/C54</f>
        <v>213.30162930675777</v>
      </c>
    </row>
    <row r="89" spans="1:2">
      <c r="A89" s="59">
        <f>$C$26+0.005+0.0025*9</f>
        <v>0.0475</v>
      </c>
      <c r="B89" s="52">
        <f>(SUMPRODUCT(($F$31:$O$31)/(1+$A89)^$F$29:$O$29)+$O$6*((1+$C$26)*$C$36-Zalozenia!$B$35*$C$26)/($A89-$C$26)/(1+$A89)^$O$29-C52)/C54</f>
        <v>192.88950788232245</v>
      </c>
    </row>
    <row r="90" spans="1:2">
      <c r="A90" s="59">
        <f>$C$26+0.005+0.0025*10</f>
        <v>0.05</v>
      </c>
      <c r="B90" s="52">
        <f>(SUMPRODUCT(($F$31:$O$31)/(1+$A90)^$F$29:$O$29)+$O$6*((1+$C$26)*$C$36-Zalozenia!$B$35*$C$26)/($A90-$C$26)/(1+$A90)^$O$29-C52)/C54</f>
        <v>175.88221346168694</v>
      </c>
    </row>
    <row r="91" spans="1:2">
      <c r="A91" s="59">
        <f>$C$26+0.005+0.0025*11</f>
        <v>0.052500000000000005</v>
      </c>
      <c r="B91" s="52">
        <f>(SUMPRODUCT(($F$31:$O$31)/(1+$A91)^$F$29:$O$29)+$O$6*((1+$C$26)*$C$36-Zalozenia!$B$35*$C$26)/($A91-$C$26)/(1+$A91)^$O$29-C52)/C54</f>
        <v>161.49397192206257</v>
      </c>
    </row>
    <row r="92" spans="1:2">
      <c r="A92" s="59">
        <f>$C$26+0.005+0.0025*12</f>
        <v>0.055</v>
      </c>
      <c r="B92" s="52">
        <f>(SUMPRODUCT(($F$31:$O$31)/(1+$A92)^$F$29:$O$29)+$O$6*((1+$C$26)*$C$36-Zalozenia!$B$35*$C$26)/($A92-$C$26)/(1+$A92)^$O$29-C52)/C54</f>
        <v>149.1635168768283</v>
      </c>
    </row>
    <row r="93" spans="1:2">
      <c r="A93" s="59">
        <f>$C$26+0.005+0.0025*13</f>
        <v>0.0575</v>
      </c>
      <c r="B93" s="52">
        <f>(SUMPRODUCT(($F$31:$O$31)/(1+$A93)^$F$29:$O$29)+$O$6*((1+$C$26)*$C$36-Zalozenia!$B$35*$C$26)/($A93-$C$26)/(1+$A93)^$O$29-C52)/C54</f>
        <v>138.4792537450992</v>
      </c>
    </row>
    <row r="94" spans="1:2">
      <c r="A94" s="59">
        <f>$C$26+0.005+0.0025*14</f>
        <v>0.060000000000000005</v>
      </c>
      <c r="B94" s="52">
        <f>(SUMPRODUCT(($F$31:$O$31)/(1+$A94)^$F$29:$O$29)+$O$6*((1+$C$26)*$C$36-Zalozenia!$B$35*$C$26)/($A94-$C$26)/(1+$A94)^$O$29-C52)/C54</f>
        <v>129.13248729565967</v>
      </c>
    </row>
    <row r="95" spans="1:2">
      <c r="A95" s="59">
        <f>$C$26+0.005+0.0025*15</f>
        <v>0.0625</v>
      </c>
      <c r="B95" s="52">
        <f>(SUMPRODUCT(($F$31:$O$31)/(1+$A95)^$F$29:$O$29)+$O$6*((1+$C$26)*$C$36-Zalozenia!$B$35*$C$26)/($A95-$C$26)/(1+$A95)^$O$29-C52)/C54</f>
        <v>120.88715711697776</v>
      </c>
    </row>
    <row r="96" spans="1:2">
      <c r="A96" s="59">
        <f>$C$26+0.005+0.0025*16</f>
        <v>0.065</v>
      </c>
      <c r="B96" s="52">
        <f>(SUMPRODUCT(($F$31:$O$31)/(1+$A96)^$F$29:$O$29)+$O$6*((1+$C$26)*$C$36-Zalozenia!$B$35*$C$26)/($A96-$C$26)/(1+$A96)^$O$29-C52)/C54</f>
        <v>113.5596612642618</v>
      </c>
    </row>
    <row r="97" spans="1:2">
      <c r="A97" s="59">
        <f>$C$26+0.005+0.0025*17</f>
        <v>0.0675</v>
      </c>
      <c r="B97" s="52">
        <f>(SUMPRODUCT(($F$31:$O$31)/(1+$A97)^$F$29:$O$29)+$O$6*((1+$C$26)*$C$36-Zalozenia!$B$35*$C$26)/($A97-$C$26)/(1+$A97)^$O$29-C52)/C54</f>
        <v>107.00505138674134</v>
      </c>
    </row>
    <row r="98" spans="1:2">
      <c r="A98" s="59">
        <f>$C$26+0.005+0.0025*18</f>
        <v>0.07</v>
      </c>
      <c r="B98" s="52">
        <f>(SUMPRODUCT(($F$31:$O$31)/(1+$A98)^$F$29:$O$29)+$O$6*((1+$C$26)*$C$36-Zalozenia!$B$35*$C$26)/($A98-$C$26)/(1+$A98)^$O$29-C52)/C54</f>
        <v>101.10736931708483</v>
      </c>
    </row>
    <row r="99" spans="1:2">
      <c r="A99" s="59">
        <f>$C$26+0.005+0.0025*19</f>
        <v>0.07250000000000001</v>
      </c>
      <c r="B99" s="52">
        <f>(SUMPRODUCT(($F$31:$O$31)/(1+$A99)^$F$29:$O$29)+$O$6*((1+$C$26)*$C$36-Zalozenia!$B$35*$C$26)/($A99-$C$26)/(1+$A99)^$O$29-C52)/C54</f>
        <v>95.77274463556773</v>
      </c>
    </row>
    <row r="100" spans="1:2">
      <c r="A100" s="59">
        <f>$C$26+0.005+0.0025*20</f>
        <v>0.07500000000000001</v>
      </c>
      <c r="B100" s="52">
        <f>(SUMPRODUCT(($F$31:$O$31)/(1+$A100)^$F$29:$O$29)+$O$6*((1+$C$26)*$C$36-Zalozenia!$B$35*$C$26)/($A100-$C$26)/(1+$A100)^$O$29-C52)/C54</f>
        <v>90.92437471701409</v>
      </c>
    </row>
    <row r="101" spans="1:2">
      <c r="A101" s="59">
        <f>$C$26+0.005+0.0025*21</f>
        <v>0.0775</v>
      </c>
      <c r="B101" s="52">
        <f>(SUMPRODUCT(($F$31:$O$31)/(1+$A101)^$F$29:$O$29)+$O$6*((1+$C$26)*$C$36-Zalozenia!$B$35*$C$26)/($A101-$C$26)/(1+$A101)^$O$29-C52)/C54</f>
        <v>86.4988143309677</v>
      </c>
    </row>
    <row r="102" spans="1:2">
      <c r="A102" s="59">
        <f>$C$26+0.005+0.0025*22</f>
        <v>0.08</v>
      </c>
      <c r="B102" s="52">
        <f>(SUMPRODUCT(($F$31:$O$31)/(1+$A102)^$F$29:$O$29)+$O$6*((1+$C$26)*$C$36-Zalozenia!$B$35*$C$26)/($A102-$C$26)/(1+$A102)^$O$29-C52)/C54</f>
        <v>82.44319284205791</v>
      </c>
    </row>
    <row r="103" spans="1:2">
      <c r="A103" s="59">
        <f>$C$26+0.005+0.0025*23</f>
        <v>0.0825</v>
      </c>
      <c r="B103" s="52">
        <f>(SUMPRODUCT(($F$31:$O$31)/(1+$A103)^$F$29:$O$29)+$O$6*((1+$C$26)*$C$36-Zalozenia!$B$35*$C$26)/($A103-$C$26)/(1+$A103)^$O$29-C52)/C54</f>
        <v>78.71309928250112</v>
      </c>
    </row>
    <row r="104" spans="1:2">
      <c r="A104" s="59">
        <f>$C$26+0.005+0.0025*24</f>
        <v>0.08499999999999999</v>
      </c>
      <c r="B104" s="52">
        <f>(SUMPRODUCT(($F$31:$O$31)/(1+$A104)^$F$29:$O$29)+$O$6*((1+$C$26)*$C$36-Zalozenia!$B$35*$C$26)/($A104-$C$26)/(1+$A104)^$O$29-C52)/C54</f>
        <v>75.27095548500071</v>
      </c>
    </row>
    <row r="105" spans="1:2">
      <c r="A105" s="59">
        <f>$C$26+0.005+0.0025*25</f>
        <v>0.0875</v>
      </c>
      <c r="B105" s="52">
        <f>(SUMPRODUCT(($F$31:$O$31)/(1+$A105)^$F$29:$O$29)+$O$6*((1+$C$26)*$C$36-Zalozenia!$B$35*$C$26)/($A105-$C$26)/(1+$A105)^$O$29-C52)/C54</f>
        <v>72.08475074186497</v>
      </c>
    </row>
    <row r="106" spans="1:2">
      <c r="A106" s="59">
        <f>$C$26+0.005+0.0025*26</f>
        <v>0.09</v>
      </c>
      <c r="B106" s="52">
        <f>(SUMPRODUCT(($F$31:$O$31)/(1+$A106)^$F$29:$O$29)+$O$6*((1+$C$26)*$C$36-Zalozenia!$B$35*$C$26)/($A106-$C$26)/(1+$A106)^$O$29-C52)/C54</f>
        <v>69.12704760878135</v>
      </c>
    </row>
    <row r="107" spans="1:2">
      <c r="A107" s="59">
        <f>$C$26+0.005+0.0025*27</f>
        <v>0.0925</v>
      </c>
      <c r="B107" s="52">
        <f>(SUMPRODUCT(($F$31:$O$31)/(1+$A107)^$F$29:$O$29)+$O$6*((1+$C$26)*$C$36-Zalozenia!$B$35*$C$26)/($A107-$C$26)/(1+$A107)^$O$29-C52)/C54</f>
        <v>66.3741934045335</v>
      </c>
    </row>
    <row r="108" spans="1:2">
      <c r="A108" s="59">
        <f>$C$26+0.005+0.0025*28</f>
        <v>0.095</v>
      </c>
      <c r="B108" s="52">
        <f>(SUMPRODUCT(($F$31:$O$31)/(1+$A108)^$F$29:$O$29)+$O$6*((1+$C$26)*$C$36-Zalozenia!$B$35*$C$26)/($A108-$C$26)/(1+$A108)^$O$29-C52)/C54</f>
        <v>63.80568941093434</v>
      </c>
    </row>
    <row r="109" spans="1:2">
      <c r="A109" s="59">
        <f>$C$26+0.005+0.0025*29</f>
        <v>0.0975</v>
      </c>
      <c r="B109" s="52">
        <f>(SUMPRODUCT(($F$31:$O$31)/(1+$A109)^$F$29:$O$29)+$O$6*((1+$C$26)*$C$36-Zalozenia!$B$35*$C$26)/($A109-$C$26)/(1+$A109)^$O$29-C52)/C54</f>
        <v>61.403682163247055</v>
      </c>
    </row>
    <row r="110" spans="1:2">
      <c r="A110" s="59">
        <f>$C$26+0.005+0.0025*30</f>
        <v>0.1</v>
      </c>
      <c r="B110" s="52">
        <f>(SUMPRODUCT(($F$31:$O$31)/(1+$A110)^$F$29:$O$29)+$O$6*((1+$C$26)*$C$36-Zalozenia!$B$35*$C$26)/($A110-$C$26)/(1+$A110)^$O$29-C52)/C54</f>
        <v>59.152550123794065</v>
      </c>
    </row>
    <row r="111" spans="1:2">
      <c r="A111" s="59">
        <f>$C$26+0.005+0.0025*31</f>
        <v>0.10250000000000001</v>
      </c>
      <c r="B111" s="52">
        <f>(SUMPRODUCT(($F$31:$O$31)/(1+$A111)^$F$29:$O$29)+$O$6*((1+$C$26)*$C$36-Zalozenia!$B$35*$C$26)/($A111-$C$26)/(1+$A111)^$O$29-C52)/C54</f>
        <v>57.03856550595371</v>
      </c>
    </row>
    <row r="112" spans="1:2">
      <c r="A112" s="59">
        <f>$C$26+0.005+0.0025*32</f>
        <v>0.10500000000000001</v>
      </c>
      <c r="B112" s="52">
        <f>(SUMPRODUCT(($F$31:$O$31)/(1+$A112)^$F$29:$O$29)+$O$6*((1+$C$26)*$C$36-Zalozenia!$B$35*$C$26)/($A112-$C$26)/(1+$A112)^$O$29-C52)/C54</f>
        <v>55.04961577640096</v>
      </c>
    </row>
    <row r="113" spans="1:2">
      <c r="A113" s="59">
        <f>$C$26+0.005+0.0025*33</f>
        <v>0.10750000000000001</v>
      </c>
      <c r="B113" s="52">
        <f>(SUMPRODUCT(($F$31:$O$31)/(1+$A113)^$F$29:$O$29)+$O$6*((1+$C$26)*$C$36-Zalozenia!$B$35*$C$26)/($A113-$C$26)/(1+$A113)^$O$29-C52)/C54</f>
        <v>53.17497289994182</v>
      </c>
    </row>
    <row r="114" spans="1:2">
      <c r="A114" s="59">
        <f>$C$26+0.005+0.0025*34</f>
        <v>0.11000000000000001</v>
      </c>
      <c r="B114" s="52">
        <f>(SUMPRODUCT(($F$31:$O$31)/(1+$A114)^$F$29:$O$29)+$O$6*((1+$C$26)*$C$36-Zalozenia!$B$35*$C$26)/($A114-$C$26)/(1+$A114)^$O$29-C52)/C54</f>
        <v>51.40510104365467</v>
      </c>
    </row>
    <row r="115" spans="1:2">
      <c r="A115" s="59">
        <f>$C$26+0.005+0.0025*35</f>
        <v>0.11250000000000002</v>
      </c>
      <c r="B115" s="52">
        <f>(SUMPRODUCT(($F$31:$O$31)/(1+$A115)^$F$29:$O$29)+$O$6*((1+$C$26)*$C$36-Zalozenia!$B$35*$C$26)/($A115-$C$26)/(1+$A115)^$O$29-C52)/C54</f>
        <v>49.73149546425136</v>
      </c>
    </row>
    <row r="116" spans="1:2">
      <c r="A116" s="59">
        <f>$C$26+0.005+0.0025*36</f>
        <v>0.11499999999999999</v>
      </c>
      <c r="B116" s="52">
        <f>(SUMPRODUCT(($F$31:$O$31)/(1+$A116)^$F$29:$O$29)+$O$6*((1+$C$26)*$C$36-Zalozenia!$B$35*$C$26)/($A116-$C$26)/(1+$A116)^$O$29-C52)/C54</f>
        <v>48.146546834376814</v>
      </c>
    </row>
    <row r="117" spans="1:2">
      <c r="A117" s="59">
        <f>$C$26+0.005+0.0025*37</f>
        <v>0.1175</v>
      </c>
      <c r="B117" s="52">
        <f>(SUMPRODUCT(($F$31:$O$31)/(1+$A117)^$F$29:$O$29)+$O$6*((1+$C$26)*$C$36-Zalozenia!$B$35*$C$26)/($A117-$C$26)/(1+$A117)^$O$29-C52)/C54</f>
        <v>46.6434264418824</v>
      </c>
    </row>
    <row r="118" spans="1:2">
      <c r="A118" s="59">
        <f>$C$26+0.005+0.0025*38</f>
        <v>0.12</v>
      </c>
      <c r="B118" s="52">
        <f>(SUMPRODUCT(($F$31:$O$31)/(1+$A118)^$F$29:$O$29)+$O$6*((1+$C$26)*$C$36-Zalozenia!$B$35*$C$26)/($A118-$C$26)/(1+$A118)^$O$29-C52)/C54</f>
        <v>45.21598860929902</v>
      </c>
    </row>
    <row r="119" spans="1:2">
      <c r="A119" s="59">
        <f>$C$26+0.005+0.0025*39</f>
        <v>0.1225</v>
      </c>
      <c r="B119" s="52">
        <f>(SUMPRODUCT(($F$31:$O$31)/(1+$A119)^$F$29:$O$29)+$O$6*((1+$C$26)*$C$36-Zalozenia!$B$35*$C$26)/($A119-$C$26)/(1+$A119)^$O$29-C52)/C54</f>
        <v>43.85868739347442</v>
      </c>
    </row>
    <row r="120" spans="1:2">
      <c r="A120" s="59">
        <f>$C$26+0.005+0.0025*40</f>
        <v>0.125</v>
      </c>
      <c r="B120" s="52">
        <f>(SUMPRODUCT(($F$31:$O$31)/(1+$A120)^$F$29:$O$29)+$O$6*((1+$C$26)*$C$36-Zalozenia!$B$35*$C$26)/($A120-$C$26)/(1+$A120)^$O$29-C52)/C54</f>
        <v>42.56650518534373</v>
      </c>
    </row>
    <row r="121" spans="1:2">
      <c r="A121" s="59">
        <f>$C$26+0.005+0.0025*41</f>
        <v>0.1275</v>
      </c>
      <c r="B121" s="52">
        <f>(SUMPRODUCT(($F$31:$O$31)/(1+$A121)^$F$29:$O$29)+$O$6*((1+$C$26)*$C$36-Zalozenia!$B$35*$C$26)/($A121-$C$26)/(1+$A121)^$O$29-C52)/C54</f>
        <v>41.33489127260143</v>
      </c>
    </row>
    <row r="122" spans="1:2">
      <c r="A122" s="59">
        <f>$C$26+0.005+0.0025*42</f>
        <v>0.13</v>
      </c>
      <c r="B122" s="52">
        <f>(SUMPRODUCT(($F$31:$O$31)/(1+$A122)^$F$29:$O$29)+$O$6*((1+$C$26)*$C$36-Zalozenia!$B$35*$C$26)/($A122-$C$26)/(1+$A122)^$O$29-C52)/C54</f>
        <v>40.15970878026492</v>
      </c>
    </row>
    <row r="123" spans="1:2">
      <c r="A123" s="59">
        <f>$C$26+0.005+0.0025*43</f>
        <v>0.1325</v>
      </c>
      <c r="B123" s="52">
        <f>(SUMPRODUCT(($F$31:$O$31)/(1+$A123)^$F$29:$O$29)+$O$6*((1+$C$26)*$C$36-Zalozenia!$B$35*$C$26)/($A123-$C$26)/(1+$A123)^$O$29-C52)/C54</f>
        <v>39.03718868590009</v>
      </c>
    </row>
    <row r="124" spans="1:2">
      <c r="A124" s="59">
        <f>$C$26+0.005+0.0025*44</f>
        <v>0.135</v>
      </c>
      <c r="B124" s="52">
        <f>(SUMPRODUCT(($F$31:$O$31)/(1+$A124)^$F$29:$O$29)+$O$6*((1+$C$26)*$C$36-Zalozenia!$B$35*$C$26)/($A124-$C$26)/(1+$A124)^$O$29-C52)/C54</f>
        <v>37.9638898329287</v>
      </c>
    </row>
    <row r="125" spans="1:2">
      <c r="A125" s="59">
        <f>$C$26+0.005+0.0025*45</f>
        <v>0.1375</v>
      </c>
      <c r="B125" s="52">
        <f>(SUMPRODUCT(($F$31:$O$31)/(1+$A125)^$F$29:$O$29)+$O$6*((1+$C$26)*$C$36-Zalozenia!$B$35*$C$26)/($A125-$C$26)/(1+$A125)^$O$29-C52)/C54</f>
        <v>36.9366640486833</v>
      </c>
    </row>
    <row r="126" spans="1:2">
      <c r="A126" s="59">
        <f>$C$26+0.005+0.0025*46</f>
        <v>0.14</v>
      </c>
      <c r="B126" s="52">
        <f>(SUMPRODUCT(($F$31:$O$31)/(1+$A126)^$F$29:$O$29)+$O$6*((1+$C$26)*$C$36-Zalozenia!$B$35*$C$26)/($A126-$C$26)/(1+$A126)^$O$29-C52)/C54</f>
        <v>35.95262562276702</v>
      </c>
    </row>
    <row r="127" spans="1:2">
      <c r="A127" s="59">
        <f>$C$26+0.005+0.0025*47</f>
        <v>0.14250000000000002</v>
      </c>
      <c r="B127" s="52">
        <f>(SUMPRODUCT(($F$31:$O$31)/(1+$A127)^$F$29:$O$29)+$O$6*((1+$C$26)*$C$36-Zalozenia!$B$35*$C$26)/($A127-$C$26)/(1+$A127)^$O$29-C52)/C54</f>
        <v>35.00912452281523</v>
      </c>
    </row>
    <row r="128" spans="1:2">
      <c r="A128" s="59">
        <f>$C$26+0.005+0.0025*48</f>
        <v>0.145</v>
      </c>
      <c r="B128" s="52">
        <f>(SUMPRODUCT(($F$31:$O$31)/(1+$A128)^$F$29:$O$29)+$O$6*((1+$C$26)*$C$36-Zalozenia!$B$35*$C$26)/($A128-$C$26)/(1+$A128)^$O$29-C52)/C54</f>
        <v>34.10372282442079</v>
      </c>
    </row>
    <row r="130" spans="1:1">
      <c r="A130" s="2" t="s">
        <v>191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P130"/>
  <sheetViews>
    <sheetView showGridLines="0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5"/>
  <cols>
    <col min="1" max="1" width="54.7109375" customWidth="1"/>
    <col min="2" max="2" width="12.7109375" customWidth="1"/>
    <col min="3" max="16" width="11.7109375" customWidth="1"/>
  </cols>
  <sheetData>
    <row r="1" spans="1:16">
      <c r="A1" s="1" t="s">
        <v>193</v>
      </c>
    </row>
    <row r="2" spans="1:16">
      <c r="A2" s="2" t="str">
        <f>Zalozenia!$B$5&amp;" ("&amp;Zalozenia!$B$6&amp;"), kwoty w "&amp;Zalozenia!$B$7&amp;"; lata 1–5 z założeń, lata 6–10 wygaszanie do stanu ustalonego."</f>
        <v>Spółka Przykładowa S.A. (SPRZ), kwoty w mln zł; lata 1–5 z założeń, lata 6–10 wygaszanie do stanu ustalonego.</v>
      </c>
    </row>
    <row r="3" spans="1:16">
      <c r="C3" s="2" t="s">
        <v>132</v>
      </c>
      <c r="F3" s="2" t="s">
        <v>133</v>
      </c>
      <c r="K3" s="2" t="s">
        <v>134</v>
      </c>
      <c r="P3" s="2" t="s">
        <v>135</v>
      </c>
    </row>
    <row r="4" spans="1:16">
      <c r="A4" s="21" t="s">
        <v>130</v>
      </c>
      <c r="B4" s="18"/>
      <c r="C4" s="19">
        <f>Historia!B3</f>
        <v>2023</v>
      </c>
      <c r="D4" s="19">
        <f>Historia!C3</f>
        <v>2024</v>
      </c>
      <c r="E4" s="19">
        <f>Historia!D3</f>
        <v>2025</v>
      </c>
      <c r="F4" s="19">
        <f>Zalozenia!C$46</f>
        <v>2026.0</v>
      </c>
      <c r="G4" s="19">
        <f>Zalozenia!D$46</f>
        <v>2027.0</v>
      </c>
      <c r="H4" s="19">
        <f>Zalozenia!E$46</f>
        <v>2028.0</v>
      </c>
      <c r="I4" s="19">
        <f>Zalozenia!F$46</f>
        <v>2029.0</v>
      </c>
      <c r="J4" s="19">
        <f>Zalozenia!G$46</f>
        <v>2030.0</v>
      </c>
      <c r="K4" s="19">
        <f>Zalozenia!H$46</f>
        <v>2031.0</v>
      </c>
      <c r="L4" s="19">
        <f>Zalozenia!I$46</f>
        <v>2032.0</v>
      </c>
      <c r="M4" s="19">
        <f>Zalozenia!J$46</f>
        <v>2033.0</v>
      </c>
      <c r="N4" s="19">
        <f>Zalozenia!K$46</f>
        <v>2034.0</v>
      </c>
      <c r="O4" s="19">
        <f>Zalozenia!L$46</f>
        <v>2035.0</v>
      </c>
      <c r="P4" s="18" t="s">
        <v>131</v>
      </c>
    </row>
    <row r="5" spans="1:16">
      <c r="A5" s="7" t="s">
        <v>93</v>
      </c>
      <c r="B5" s="2" t="s">
        <v>136</v>
      </c>
      <c r="D5" s="32">
        <f>Historia!C5</f>
        <v>0.06290322580645169</v>
      </c>
      <c r="E5" s="32">
        <f>Historia!D5</f>
        <v>0.06373292867981784</v>
      </c>
      <c r="F5" s="33">
        <f>Zalozenia!C73</f>
        <v>0.06</v>
      </c>
      <c r="G5" s="33">
        <f>Zalozenia!D73</f>
        <v>0.065</v>
      </c>
      <c r="H5" s="33">
        <f>Zalozenia!E73</f>
        <v>0.055</v>
      </c>
      <c r="I5" s="33">
        <f>Zalozenia!F73</f>
        <v>0.045</v>
      </c>
      <c r="J5" s="33">
        <f>Zalozenia!G73</f>
        <v>0.035</v>
      </c>
      <c r="K5" s="33">
        <f>Zalozenia!H73</f>
        <v>0.033</v>
      </c>
      <c r="L5" s="33">
        <f>Zalozenia!I73</f>
        <v>0.031000000000000003</v>
      </c>
      <c r="M5" s="33">
        <f>Zalozenia!J73</f>
        <v>0.029</v>
      </c>
      <c r="N5" s="33">
        <f>Zalozenia!K73</f>
        <v>0.027000000000000003</v>
      </c>
      <c r="O5" s="33">
        <f>Zalozenia!L73</f>
        <v>0.025</v>
      </c>
      <c r="P5" s="34">
        <f>$C$26</f>
        <v>0.025</v>
      </c>
    </row>
    <row r="6" spans="1:16">
      <c r="A6" s="35" t="s">
        <v>108</v>
      </c>
      <c r="B6" s="2" t="s">
        <v>25</v>
      </c>
      <c r="C6" s="36">
        <f>Historia!B4</f>
        <v>1240</v>
      </c>
      <c r="D6" s="36">
        <f>Historia!C4</f>
        <v>1318</v>
      </c>
      <c r="E6" s="36">
        <f>Historia!D4</f>
        <v>1402</v>
      </c>
      <c r="F6" s="37">
        <f>E6*(1+F5)</f>
        <v>1486.1200000000001</v>
      </c>
      <c r="G6" s="37">
        <f>F6*(1+G5)</f>
        <v>1582.7178000000001</v>
      </c>
      <c r="H6" s="37">
        <f>G6*(1+H5)</f>
        <v>1669.7672790000001</v>
      </c>
      <c r="I6" s="37">
        <f>H6*(1+I5)</f>
        <v>1744.906806555</v>
      </c>
      <c r="J6" s="37">
        <f>I6*(1+J5)</f>
        <v>1805.978544784425</v>
      </c>
      <c r="K6" s="37">
        <f>J6*(1+K5)</f>
        <v>1865.5758367623107</v>
      </c>
      <c r="L6" s="37">
        <f>K6*(1+L5)</f>
        <v>1923.4086877019422</v>
      </c>
      <c r="M6" s="37">
        <f>L6*(1+M5)</f>
        <v>1979.1875396452983</v>
      </c>
      <c r="N6" s="37">
        <f>M6*(1+N5)</f>
        <v>2032.6256032157212</v>
      </c>
      <c r="O6" s="37">
        <f>N6*(1+O5)</f>
        <v>2083.441243296114</v>
      </c>
      <c r="P6" s="37">
        <f>O6*(1+P5)</f>
        <v>2135.5272743785167</v>
      </c>
    </row>
    <row r="7" spans="1:16">
      <c r="A7" s="7" t="s">
        <v>94</v>
      </c>
      <c r="B7" s="2" t="s">
        <v>136</v>
      </c>
      <c r="C7" s="28">
        <f>IF(AND(ISNUMBER(C8),ISNUMBER(C6)),C8/C6,"n/d")</f>
        <v>0.15</v>
      </c>
      <c r="D7" s="28">
        <f>IF(AND(ISNUMBER(D8),ISNUMBER(D6)),D8/D6,"n/d")</f>
        <v>0.12974203338391502</v>
      </c>
      <c r="E7" s="28">
        <f>IF(AND(ISNUMBER(E8),ISNUMBER(E6)),E8/E6,"n/d")</f>
        <v>0.1398002853067047</v>
      </c>
      <c r="F7" s="33">
        <f>Zalozenia!C74</f>
        <v>0.148</v>
      </c>
      <c r="G7" s="33">
        <f>Zalozenia!D74</f>
        <v>0.155</v>
      </c>
      <c r="H7" s="33">
        <f>Zalozenia!E74</f>
        <v>0.16</v>
      </c>
      <c r="I7" s="33">
        <f>Zalozenia!F74</f>
        <v>0.16</v>
      </c>
      <c r="J7" s="33">
        <f>Zalozenia!G74</f>
        <v>0.16</v>
      </c>
      <c r="K7" s="33">
        <f>Zalozenia!H74</f>
        <v>0.16</v>
      </c>
      <c r="L7" s="33">
        <f>Zalozenia!I74</f>
        <v>0.16</v>
      </c>
      <c r="M7" s="33">
        <f>Zalozenia!J74</f>
        <v>0.16</v>
      </c>
      <c r="N7" s="33">
        <f>Zalozenia!K74</f>
        <v>0.16</v>
      </c>
      <c r="O7" s="33">
        <f>Zalozenia!L74</f>
        <v>0.16</v>
      </c>
      <c r="P7" s="34">
        <f>O7</f>
        <v>0.16</v>
      </c>
    </row>
    <row r="8" spans="1:16">
      <c r="A8" s="35" t="s">
        <v>110</v>
      </c>
      <c r="B8" s="2" t="s">
        <v>25</v>
      </c>
      <c r="C8" s="36">
        <f>Historia!B6</f>
        <v>186</v>
      </c>
      <c r="D8" s="36">
        <f>Historia!C6</f>
        <v>171</v>
      </c>
      <c r="E8" s="36">
        <f>Historia!D6</f>
        <v>196</v>
      </c>
      <c r="F8" s="37">
        <f>F6*F7</f>
        <v>219.94576</v>
      </c>
      <c r="G8" s="37">
        <f>G6*G7</f>
        <v>245.32125900000003</v>
      </c>
      <c r="H8" s="37">
        <f>H6*H7</f>
        <v>267.16276464000003</v>
      </c>
      <c r="I8" s="37">
        <f>I6*I7</f>
        <v>279.1850890488</v>
      </c>
      <c r="J8" s="37">
        <f>J6*J7</f>
        <v>288.956567165508</v>
      </c>
      <c r="K8" s="37">
        <f>K6*K7</f>
        <v>298.4921338819697</v>
      </c>
      <c r="L8" s="37">
        <f>L6*L7</f>
        <v>307.74539003231075</v>
      </c>
      <c r="M8" s="37">
        <f>M6*M7</f>
        <v>316.67000634324774</v>
      </c>
      <c r="N8" s="37">
        <f>N6*N7</f>
        <v>325.2200965145154</v>
      </c>
      <c r="O8" s="37">
        <f>O6*O7</f>
        <v>333.35059892737826</v>
      </c>
      <c r="P8" s="37">
        <f>P6*P7</f>
        <v>341.6843639005627</v>
      </c>
    </row>
    <row r="9" spans="1:16">
      <c r="A9" s="7" t="s">
        <v>83</v>
      </c>
      <c r="B9" s="2" t="s">
        <v>136</v>
      </c>
      <c r="C9" s="28">
        <f>IF(AND(ISNUMBER(C10),ISNUMBER(C6)),C10/C6,"n/d")</f>
        <v>0.04516129032258064</v>
      </c>
      <c r="D9" s="28">
        <f>IF(AND(ISNUMBER(D10),ISNUMBER(D6)),D10/D6,"n/d")</f>
        <v>0.044764795144157814</v>
      </c>
      <c r="E9" s="28">
        <f>IF(AND(ISNUMBER(E10),ISNUMBER(E6)),E10/E6,"n/d")</f>
        <v>0.0449358059914408</v>
      </c>
      <c r="F9" s="33">
        <f>Zalozenia!C$47</f>
        <v>0.045</v>
      </c>
      <c r="G9" s="33">
        <f>Zalozenia!D$47</f>
        <v>0.045</v>
      </c>
      <c r="H9" s="33">
        <f>Zalozenia!E$47</f>
        <v>0.045</v>
      </c>
      <c r="I9" s="33">
        <f>Zalozenia!F$47</f>
        <v>0.045</v>
      </c>
      <c r="J9" s="33">
        <f>Zalozenia!G$47</f>
        <v>0.045</v>
      </c>
      <c r="K9" s="33">
        <f>Zalozenia!H$47</f>
        <v>0.045</v>
      </c>
      <c r="L9" s="33">
        <f>Zalozenia!I$47</f>
        <v>0.045</v>
      </c>
      <c r="M9" s="33">
        <f>Zalozenia!J$47</f>
        <v>0.045</v>
      </c>
      <c r="N9" s="33">
        <f>Zalozenia!K$47</f>
        <v>0.045</v>
      </c>
      <c r="O9" s="33">
        <f>Zalozenia!L$47</f>
        <v>0.045</v>
      </c>
      <c r="P9" s="33">
        <f>Zalozenia!$B$37</f>
        <v>0.045</v>
      </c>
    </row>
    <row r="10" spans="1:16">
      <c r="A10" s="7" t="s">
        <v>112</v>
      </c>
      <c r="B10" s="2" t="s">
        <v>25</v>
      </c>
      <c r="C10" s="38">
        <f>Historia!B8</f>
        <v>56</v>
      </c>
      <c r="D10" s="38">
        <f>Historia!C8</f>
        <v>59</v>
      </c>
      <c r="E10" s="38">
        <f>Historia!D8</f>
        <v>63</v>
      </c>
      <c r="F10" s="15">
        <f>F6*F9</f>
        <v>66.8754</v>
      </c>
      <c r="G10" s="15">
        <f>G6*G9</f>
        <v>71.222301</v>
      </c>
      <c r="H10" s="15">
        <f>H6*H9</f>
        <v>75.139527555</v>
      </c>
      <c r="I10" s="15">
        <f>I6*I9</f>
        <v>78.520806294975</v>
      </c>
      <c r="J10" s="15">
        <f>J6*J9</f>
        <v>81.26903451529911</v>
      </c>
      <c r="K10" s="15">
        <f>K6*K9</f>
        <v>83.95091265430398</v>
      </c>
      <c r="L10" s="15">
        <f>L6*L9</f>
        <v>86.5533909465874</v>
      </c>
      <c r="M10" s="15">
        <f>M6*M9</f>
        <v>89.06343928403842</v>
      </c>
      <c r="N10" s="15">
        <f>N6*N9</f>
        <v>91.46815214470745</v>
      </c>
      <c r="O10" s="15">
        <f>O6*O9</f>
        <v>93.75485594832513</v>
      </c>
      <c r="P10" s="15">
        <f>P6*P9</f>
        <v>96.09872734703325</v>
      </c>
    </row>
    <row r="11" spans="1:16">
      <c r="A11" s="7" t="s">
        <v>114</v>
      </c>
      <c r="B11" s="2" t="s">
        <v>25</v>
      </c>
      <c r="C11" s="29">
        <f>IF(AND(ISNUMBER(C8),ISNUMBER(C10)),C8-C10,"n/d")</f>
        <v>130.0</v>
      </c>
      <c r="D11" s="29">
        <f>IF(AND(ISNUMBER(D8),ISNUMBER(D10)),D8-D10,"n/d")</f>
        <v>112.0</v>
      </c>
      <c r="E11" s="29">
        <f>IF(AND(ISNUMBER(E8),ISNUMBER(E10)),E8-E10,"n/d")</f>
        <v>133.0</v>
      </c>
      <c r="F11" s="15">
        <f>F8-F10</f>
        <v>153.07036</v>
      </c>
      <c r="G11" s="15">
        <f>G8-G10</f>
        <v>174.09895800000004</v>
      </c>
      <c r="H11" s="15">
        <f>H8-H10</f>
        <v>192.02323708500003</v>
      </c>
      <c r="I11" s="15">
        <f>I8-I10</f>
        <v>200.66428275382503</v>
      </c>
      <c r="J11" s="15">
        <f>J8-J10</f>
        <v>207.68753265020888</v>
      </c>
      <c r="K11" s="15">
        <f>K8-K10</f>
        <v>214.54122122766574</v>
      </c>
      <c r="L11" s="15">
        <f>L8-L10</f>
        <v>221.19199908572335</v>
      </c>
      <c r="M11" s="15">
        <f>M8-M10</f>
        <v>227.6065670592093</v>
      </c>
      <c r="N11" s="15">
        <f>N8-N10</f>
        <v>233.75194436980792</v>
      </c>
      <c r="O11" s="15">
        <f>O8-O10</f>
        <v>239.5957429790531</v>
      </c>
      <c r="P11" s="15">
        <f>P8-P10</f>
        <v>245.58563655352944</v>
      </c>
    </row>
    <row r="12" spans="1:16">
      <c r="A12" s="7" t="s">
        <v>89</v>
      </c>
      <c r="B12" s="2" t="s">
        <v>136</v>
      </c>
      <c r="F12" s="33">
        <f>Zalozenia!C$50</f>
        <v>0.19</v>
      </c>
      <c r="G12" s="33">
        <f>Zalozenia!D$50</f>
        <v>0.19</v>
      </c>
      <c r="H12" s="33">
        <f>Zalozenia!E$50</f>
        <v>0.19</v>
      </c>
      <c r="I12" s="33">
        <f>Zalozenia!F$50</f>
        <v>0.19</v>
      </c>
      <c r="J12" s="33">
        <f>Zalozenia!G$50</f>
        <v>0.19</v>
      </c>
      <c r="K12" s="33">
        <f>Zalozenia!H$50</f>
        <v>0.19</v>
      </c>
      <c r="L12" s="33">
        <f>Zalozenia!I$50</f>
        <v>0.19</v>
      </c>
      <c r="M12" s="33">
        <f>Zalozenia!J$50</f>
        <v>0.19</v>
      </c>
      <c r="N12" s="33">
        <f>Zalozenia!K$50</f>
        <v>0.19</v>
      </c>
      <c r="O12" s="33">
        <f>Zalozenia!L$50</f>
        <v>0.19</v>
      </c>
      <c r="P12" s="33">
        <f>Zalozenia!$B$12</f>
        <v>0.19</v>
      </c>
    </row>
    <row r="13" spans="1:16">
      <c r="A13" s="7" t="s">
        <v>137</v>
      </c>
      <c r="B13" s="2" t="s">
        <v>25</v>
      </c>
      <c r="F13" s="15">
        <f>MAX(0,F11)*F12</f>
        <v>29.083368399999998</v>
      </c>
      <c r="G13" s="15">
        <f>MAX(0,G11)*G12</f>
        <v>33.078802020000005</v>
      </c>
      <c r="H13" s="15">
        <f>MAX(0,H11)*H12</f>
        <v>36.484415046150005</v>
      </c>
      <c r="I13" s="15">
        <f>MAX(0,I11)*I12</f>
        <v>38.126213723226755</v>
      </c>
      <c r="J13" s="15">
        <f>MAX(0,J11)*J12</f>
        <v>39.46063120353969</v>
      </c>
      <c r="K13" s="15">
        <f>MAX(0,K11)*K12</f>
        <v>40.762832033256494</v>
      </c>
      <c r="L13" s="15">
        <f>MAX(0,L11)*L12</f>
        <v>42.026479826287435</v>
      </c>
      <c r="M13" s="15">
        <f>MAX(0,M11)*M12</f>
        <v>43.24524774124977</v>
      </c>
      <c r="N13" s="15">
        <f>MAX(0,N11)*N12</f>
        <v>44.412869430263505</v>
      </c>
      <c r="O13" s="15">
        <f>MAX(0,O11)*O12</f>
        <v>45.52319116602009</v>
      </c>
      <c r="P13" s="15">
        <f>MAX(0,P11)*P12</f>
        <v>46.66127094517059</v>
      </c>
    </row>
    <row r="14" spans="1:16">
      <c r="A14" s="7" t="s">
        <v>138</v>
      </c>
      <c r="B14" s="2" t="s">
        <v>25</v>
      </c>
      <c r="F14" s="15">
        <f>F11-F13</f>
        <v>123.9869916</v>
      </c>
      <c r="G14" s="15">
        <f>G11-G13</f>
        <v>141.02015598000003</v>
      </c>
      <c r="H14" s="15">
        <f>H11-H13</f>
        <v>155.53882203885001</v>
      </c>
      <c r="I14" s="15">
        <f>I11-I13</f>
        <v>162.53806903059828</v>
      </c>
      <c r="J14" s="15">
        <f>J11-J13</f>
        <v>168.2269014466692</v>
      </c>
      <c r="K14" s="15">
        <f>K11-K13</f>
        <v>173.77838919440924</v>
      </c>
      <c r="L14" s="15">
        <f>L11-L13</f>
        <v>179.1655192594359</v>
      </c>
      <c r="M14" s="15">
        <f>M11-M13</f>
        <v>184.36131931795956</v>
      </c>
      <c r="N14" s="15">
        <f>N11-N13</f>
        <v>189.33907493954442</v>
      </c>
      <c r="O14" s="15">
        <f>O11-O13</f>
        <v>194.07255181303302</v>
      </c>
      <c r="P14" s="15">
        <f>P11-P13</f>
        <v>198.92436560835884</v>
      </c>
    </row>
    <row r="15" spans="1:16">
      <c r="A15" s="7" t="s">
        <v>139</v>
      </c>
      <c r="B15" s="2" t="s">
        <v>25</v>
      </c>
      <c r="F15" s="15">
        <f>F10</f>
        <v>66.8754</v>
      </c>
      <c r="G15" s="15">
        <f>G10</f>
        <v>71.222301</v>
      </c>
      <c r="H15" s="15">
        <f>H10</f>
        <v>75.139527555</v>
      </c>
      <c r="I15" s="15">
        <f>I10</f>
        <v>78.520806294975</v>
      </c>
      <c r="J15" s="15">
        <f>J10</f>
        <v>81.26903451529911</v>
      </c>
      <c r="K15" s="15">
        <f>K10</f>
        <v>83.95091265430398</v>
      </c>
      <c r="L15" s="15">
        <f>L10</f>
        <v>86.5533909465874</v>
      </c>
      <c r="M15" s="15">
        <f>M10</f>
        <v>89.06343928403842</v>
      </c>
      <c r="N15" s="15">
        <f>N10</f>
        <v>91.46815214470745</v>
      </c>
      <c r="O15" s="15">
        <f>O10</f>
        <v>93.75485594832513</v>
      </c>
      <c r="P15" s="15">
        <f>P10</f>
        <v>96.09872734703325</v>
      </c>
    </row>
    <row r="16" spans="1:16">
      <c r="A16" s="7" t="s">
        <v>140</v>
      </c>
      <c r="B16" s="2" t="s">
        <v>25</v>
      </c>
      <c r="C16" s="38">
        <f>Historia!B12</f>
        <v>67</v>
      </c>
      <c r="D16" s="38">
        <f>Historia!C12</f>
        <v>70</v>
      </c>
      <c r="E16" s="38">
        <f>Historia!D12</f>
        <v>76</v>
      </c>
      <c r="F16" s="15">
        <f>F6*Zalozenia!C$48</f>
        <v>81.73660000000001</v>
      </c>
      <c r="G16" s="15">
        <f>G6*Zalozenia!D$48</f>
        <v>87.049479</v>
      </c>
      <c r="H16" s="15">
        <f>H6*Zalozenia!E$48</f>
        <v>88.497665787</v>
      </c>
      <c r="I16" s="15">
        <f>I6*Zalozenia!F$48</f>
        <v>88.990247134305</v>
      </c>
      <c r="J16" s="15">
        <f>J6*Zalozenia!G$48</f>
        <v>90.29892723922126</v>
      </c>
      <c r="K16" s="15">
        <f>K6*Zalozenia!H$48</f>
        <v>93.0922342544393</v>
      </c>
      <c r="L16" s="15">
        <f>L6*Zalozenia!I$48</f>
        <v>95.78575264755673</v>
      </c>
      <c r="M16" s="15">
        <f>M6*Zalozenia!J$48</f>
        <v>98.36562072037133</v>
      </c>
      <c r="N16" s="15">
        <f>N6*Zalozenia!K$48</f>
        <v>100.81822991949979</v>
      </c>
      <c r="O16" s="15">
        <f>O6*Zalozenia!L$48</f>
        <v>103.13034154315764</v>
      </c>
      <c r="P16" s="15">
        <f>P10*Zalozenia!$B$36</f>
        <v>105.70860008173658</v>
      </c>
    </row>
    <row r="17" spans="1:16">
      <c r="A17" s="7" t="s">
        <v>141</v>
      </c>
      <c r="B17" s="2" t="s">
        <v>25</v>
      </c>
      <c r="F17" s="15">
        <f>F6*Zalozenia!C$49</f>
        <v>0.0</v>
      </c>
      <c r="G17" s="15">
        <f>G6*Zalozenia!D$49</f>
        <v>0.0</v>
      </c>
      <c r="H17" s="15">
        <f>H6*Zalozenia!E$49</f>
        <v>0.0</v>
      </c>
      <c r="I17" s="15">
        <f>I6*Zalozenia!F$49</f>
        <v>0.0</v>
      </c>
      <c r="J17" s="15">
        <f>J6*Zalozenia!G$49</f>
        <v>0.0</v>
      </c>
      <c r="K17" s="15">
        <f>K6*Zalozenia!H$49</f>
        <v>0.0</v>
      </c>
      <c r="L17" s="15">
        <f>L6*Zalozenia!I$49</f>
        <v>0.0</v>
      </c>
      <c r="M17" s="15">
        <f>M6*Zalozenia!J$49</f>
        <v>0.0</v>
      </c>
      <c r="N17" s="15">
        <f>N6*Zalozenia!K$49</f>
        <v>0.0</v>
      </c>
      <c r="O17" s="15">
        <f>O6*Zalozenia!L$49</f>
        <v>0.0</v>
      </c>
      <c r="P17" s="15">
        <v>0</v>
      </c>
    </row>
    <row r="18" spans="1:16">
      <c r="A18" s="7" t="s">
        <v>142</v>
      </c>
      <c r="B18" s="2" t="s">
        <v>25</v>
      </c>
      <c r="F18" s="15">
        <f>Zalozenia!$B$35*(F6-E6)</f>
        <v>10.094400000000014</v>
      </c>
      <c r="G18" s="15">
        <f>Zalozenia!$B$35*(G6-F6)</f>
        <v>11.591736000000001</v>
      </c>
      <c r="H18" s="15">
        <f>Zalozenia!$B$35*(H6-G6)</f>
        <v>10.445937480000001</v>
      </c>
      <c r="I18" s="15">
        <f>Zalozenia!$B$35*(I6-H6)</f>
        <v>9.016743306599983</v>
      </c>
      <c r="J18" s="15">
        <f>Zalozenia!$B$35*(J6-I6)</f>
        <v>7.328608587530989</v>
      </c>
      <c r="K18" s="15">
        <f>Zalozenia!$B$35*(K6-J6)</f>
        <v>7.151675037346294</v>
      </c>
      <c r="L18" s="15">
        <f>Zalozenia!$B$35*(L6-K6)</f>
        <v>6.939942112755779</v>
      </c>
      <c r="M18" s="15">
        <f>Zalozenia!$B$35*(M6-L6)</f>
        <v>6.693462233202736</v>
      </c>
      <c r="N18" s="15">
        <f>Zalozenia!$B$35*(N6-M6)</f>
        <v>6.412567628450742</v>
      </c>
      <c r="O18" s="15">
        <f>Zalozenia!$B$35*(O6-N6)</f>
        <v>6.097876809647132</v>
      </c>
      <c r="P18" s="15">
        <f>Zalozenia!$B$35*(P6-O6)</f>
        <v>6.250323729888332</v>
      </c>
    </row>
    <row r="19" spans="1:16">
      <c r="A19" s="35" t="s">
        <v>143</v>
      </c>
      <c r="B19" s="2" t="s">
        <v>25</v>
      </c>
      <c r="F19" s="39">
        <f>F14+F15-F16-F17-F18</f>
        <v>99.03139159999998</v>
      </c>
      <c r="G19" s="39">
        <f>G14+G15-G16-G17-G18</f>
        <v>113.60124198000004</v>
      </c>
      <c r="H19" s="39">
        <f>H14+H15-H16-H17-H18</f>
        <v>131.73474632685003</v>
      </c>
      <c r="I19" s="39">
        <f>I14+I15-I16-I17-I18</f>
        <v>143.05188488466834</v>
      </c>
      <c r="J19" s="39">
        <f>J14+J15-J16-J17-J18</f>
        <v>151.86840013521606</v>
      </c>
      <c r="K19" s="39">
        <f>K14+K15-K16-K17-K18</f>
        <v>157.48539255692765</v>
      </c>
      <c r="L19" s="39">
        <f>L14+L15-L16-L17-L18</f>
        <v>162.99321544571083</v>
      </c>
      <c r="M19" s="39">
        <f>M14+M15-M16-M17-M18</f>
        <v>168.3656756484239</v>
      </c>
      <c r="N19" s="39">
        <f>N14+N15-N16-N17-N18</f>
        <v>173.5764295363013</v>
      </c>
      <c r="O19" s="39">
        <f>O14+O15-O16-O17-O18</f>
        <v>178.59918940855337</v>
      </c>
      <c r="P19" s="39">
        <f>P14+P15-P16-P17-P18</f>
        <v>183.0641691437672</v>
      </c>
    </row>
    <row r="20" spans="1:16">
      <c r="A20" s="7" t="s">
        <v>144</v>
      </c>
      <c r="B20" s="2" t="s">
        <v>136</v>
      </c>
      <c r="F20" s="34">
        <f>F19/F6</f>
        <v>0.0666375471698113</v>
      </c>
      <c r="G20" s="34">
        <f>G19/G6</f>
        <v>0.0717760563380282</v>
      </c>
      <c r="H20" s="34">
        <f>H19/H6</f>
        <v>0.0788940758293839</v>
      </c>
      <c r="I20" s="34">
        <f>I19/I6</f>
        <v>0.08198253588516752</v>
      </c>
      <c r="J20" s="34">
        <f>J19/J6</f>
        <v>0.08409202898550724</v>
      </c>
      <c r="K20" s="34">
        <f>K19/K6</f>
        <v>0.08441650532429819</v>
      </c>
      <c r="L20" s="34">
        <f>L19/L6</f>
        <v>0.08474185257032009</v>
      </c>
      <c r="M20" s="34">
        <f>M19/M6</f>
        <v>0.08506807580174927</v>
      </c>
      <c r="N20" s="34">
        <f>N19/N6</f>
        <v>0.08539518013631936</v>
      </c>
      <c r="O20" s="34">
        <f>O19/O6</f>
        <v>0.08572317073170733</v>
      </c>
      <c r="P20" s="34">
        <f>P19/P6</f>
        <v>0.08572317073170733</v>
      </c>
    </row>
    <row r="22" spans="1:16">
      <c r="A22" s="3" t="s">
        <v>145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pans="1:16">
      <c r="A23" s="7" t="s">
        <v>53</v>
      </c>
      <c r="B23" s="2" t="s">
        <v>136</v>
      </c>
      <c r="C23" s="40">
        <f>Zalozenia!$B$24</f>
        <v>0.0950165</v>
      </c>
    </row>
    <row r="24" spans="1:16">
      <c r="A24" s="7" t="s">
        <v>146</v>
      </c>
      <c r="B24" s="2" t="s">
        <v>147</v>
      </c>
      <c r="C24" s="41">
        <f>Zalozenia!$B$76</f>
        <v>-0.005</v>
      </c>
    </row>
    <row r="25" spans="1:16">
      <c r="A25" s="35" t="s">
        <v>148</v>
      </c>
      <c r="B25" s="2" t="s">
        <v>136</v>
      </c>
      <c r="C25" s="42">
        <f>C23+C24</f>
        <v>0.0900165</v>
      </c>
    </row>
    <row r="26" spans="1:16">
      <c r="A26" s="35" t="s">
        <v>99</v>
      </c>
      <c r="B26" s="2" t="s">
        <v>136</v>
      </c>
      <c r="C26" s="43">
        <f>Zalozenia!$B$77</f>
        <v>0.025</v>
      </c>
    </row>
    <row r="28" spans="1:16">
      <c r="A28" s="7" t="s">
        <v>149</v>
      </c>
      <c r="B28" s="2"/>
      <c r="F28" s="44">
        <f>MIN(1,MAX(0,(DATE(F4,12,31)-Zalozenia!$B$8)/365))</f>
        <v>0.25753424657534246</v>
      </c>
      <c r="G28" s="44">
        <v>1</v>
      </c>
      <c r="H28" s="44">
        <v>1</v>
      </c>
      <c r="I28" s="44">
        <v>1</v>
      </c>
      <c r="J28" s="44">
        <v>1</v>
      </c>
      <c r="K28" s="44">
        <v>1</v>
      </c>
      <c r="L28" s="44">
        <v>1</v>
      </c>
      <c r="M28" s="44">
        <v>1</v>
      </c>
      <c r="N28" s="44">
        <v>1</v>
      </c>
      <c r="O28" s="44">
        <v>1</v>
      </c>
    </row>
    <row r="29" spans="1:16">
      <c r="A29" s="7" t="s">
        <v>150</v>
      </c>
      <c r="B29" s="2" t="s">
        <v>151</v>
      </c>
      <c r="F29" s="44">
        <f>IF(Zalozenia!$B$38=1,F28/2,F28)</f>
        <v>0.12876712328767123</v>
      </c>
      <c r="G29" s="44">
        <f>$F$28+(G$4-$F$4)-IF(Zalozenia!$B$38=1,0.5,0)</f>
        <v>0.7575342465753425</v>
      </c>
      <c r="H29" s="44">
        <f>$F$28+(H$4-$F$4)-IF(Zalozenia!$B$38=1,0.5,0)</f>
        <v>1.7575342465753425</v>
      </c>
      <c r="I29" s="44">
        <f>$F$28+(I$4-$F$4)-IF(Zalozenia!$B$38=1,0.5,0)</f>
        <v>2.7575342465753425</v>
      </c>
      <c r="J29" s="44">
        <f>$F$28+(J$4-$F$4)-IF(Zalozenia!$B$38=1,0.5,0)</f>
        <v>3.757534246575342</v>
      </c>
      <c r="K29" s="44">
        <f>$F$28+(K$4-$F$4)-IF(Zalozenia!$B$38=1,0.5,0)</f>
        <v>4.757534246575342</v>
      </c>
      <c r="L29" s="44">
        <f>$F$28+(L$4-$F$4)-IF(Zalozenia!$B$38=1,0.5,0)</f>
        <v>5.757534246575342</v>
      </c>
      <c r="M29" s="44">
        <f>$F$28+(M$4-$F$4)-IF(Zalozenia!$B$38=1,0.5,0)</f>
        <v>6.757534246575342</v>
      </c>
      <c r="N29" s="44">
        <f>$F$28+(N$4-$F$4)-IF(Zalozenia!$B$38=1,0.5,0)</f>
        <v>7.757534246575343</v>
      </c>
      <c r="O29" s="44">
        <f>$F$28+(O$4-$F$4)-IF(Zalozenia!$B$38=1,0.5,0)</f>
        <v>8.757534246575343</v>
      </c>
    </row>
    <row r="30" spans="1:16">
      <c r="A30" s="7" t="s">
        <v>152</v>
      </c>
      <c r="B30" s="2"/>
      <c r="F30" s="45">
        <f>1/(1+$C$25)^F29</f>
        <v>0.9889625612339907</v>
      </c>
      <c r="G30" s="45">
        <f>1/(1+$C$25)^G29</f>
        <v>0.936791984146145</v>
      </c>
      <c r="H30" s="45">
        <f>1/(1+$C$25)^H29</f>
        <v>0.8594291775823073</v>
      </c>
      <c r="I30" s="45">
        <f>1/(1+$C$25)^I29</f>
        <v>0.7884552000656021</v>
      </c>
      <c r="J30" s="45">
        <f>1/(1+$C$25)^J29</f>
        <v>0.7233424448763869</v>
      </c>
      <c r="K30" s="45">
        <f>1/(1+$C$25)^K29</f>
        <v>0.6636068764797477</v>
      </c>
      <c r="L30" s="45">
        <f>1/(1+$C$25)^L29</f>
        <v>0.6088044322996465</v>
      </c>
      <c r="M30" s="45">
        <f>1/(1+$C$25)^M29</f>
        <v>0.5585277216442563</v>
      </c>
      <c r="N30" s="45">
        <f>1/(1+$C$25)^N29</f>
        <v>0.5124029972429375</v>
      </c>
      <c r="O30" s="45">
        <f>1/(1+$C$25)^O29</f>
        <v>0.47008737688185226</v>
      </c>
    </row>
    <row r="31" spans="1:16">
      <c r="A31" s="7" t="s">
        <v>153</v>
      </c>
      <c r="B31" s="2" t="s">
        <v>25</v>
      </c>
      <c r="F31" s="15">
        <f>F19*F28</f>
        <v>25.503974823013692</v>
      </c>
      <c r="G31" s="15">
        <f>G19*G28</f>
        <v>113.60124198000004</v>
      </c>
      <c r="H31" s="15">
        <f>H19*H28</f>
        <v>131.73474632685003</v>
      </c>
      <c r="I31" s="15">
        <f>I19*I28</f>
        <v>143.05188488466834</v>
      </c>
      <c r="J31" s="15">
        <f>J19*J28</f>
        <v>151.86840013521606</v>
      </c>
      <c r="K31" s="15">
        <f>K19*K28</f>
        <v>157.48539255692765</v>
      </c>
      <c r="L31" s="15">
        <f>L19*L28</f>
        <v>162.99321544571083</v>
      </c>
      <c r="M31" s="15">
        <f>M19*M28</f>
        <v>168.3656756484239</v>
      </c>
      <c r="N31" s="15">
        <f>N19*N28</f>
        <v>173.5764295363013</v>
      </c>
      <c r="O31" s="15">
        <f>O19*O28</f>
        <v>178.59918940855337</v>
      </c>
    </row>
    <row r="32" spans="1:16">
      <c r="A32" s="35" t="s">
        <v>154</v>
      </c>
      <c r="B32" s="2" t="s">
        <v>25</v>
      </c>
      <c r="F32" s="37">
        <f>F31*F30</f>
        <v>25.222476262614837</v>
      </c>
      <c r="G32" s="37">
        <f>G31*G30</f>
        <v>106.42073287591057</v>
      </c>
      <c r="H32" s="37">
        <f>H31*H30</f>
        <v>113.2166846946986</v>
      </c>
      <c r="I32" s="37">
        <f>I31*I30</f>
        <v>112.79000251650265</v>
      </c>
      <c r="J32" s="37">
        <f>J31*J30</f>
        <v>109.85285985327259</v>
      </c>
      <c r="K32" s="37">
        <f>K31*K30</f>
        <v>104.50838944588966</v>
      </c>
      <c r="L32" s="37">
        <f>L31*L30</f>
        <v>99.23099199811996</v>
      </c>
      <c r="M32" s="37">
        <f>M31*M30</f>
        <v>94.03689722301004</v>
      </c>
      <c r="N32" s="37">
        <f>N31*N30</f>
        <v>88.94108274512833</v>
      </c>
      <c r="O32" s="37">
        <f>O31*O30</f>
        <v>83.95722446229195</v>
      </c>
    </row>
    <row r="34" spans="1:16">
      <c r="A34" s="3" t="s">
        <v>155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</row>
    <row r="35" spans="1:16">
      <c r="A35" s="46" t="s">
        <v>156</v>
      </c>
      <c r="B35" s="2" t="s">
        <v>25</v>
      </c>
      <c r="C35" s="15">
        <f>P19</f>
        <v>183.0641691437672</v>
      </c>
    </row>
    <row r="36" spans="1:16">
      <c r="A36" s="46" t="s">
        <v>157</v>
      </c>
      <c r="B36" s="2"/>
      <c r="C36" s="45">
        <f>(P7-P9)*(1-Zalozenia!$B$12)+P9-Zalozenia!$B$36*P9</f>
        <v>0.08864999999999999</v>
      </c>
    </row>
    <row r="37" spans="1:16">
      <c r="A37" s="46" t="s">
        <v>158</v>
      </c>
      <c r="B37" s="2" t="s">
        <v>25</v>
      </c>
      <c r="C37" s="15">
        <f>C35/($C$25-$C$26)</f>
        <v>2815.657089258376</v>
      </c>
    </row>
    <row r="38" spans="1:16">
      <c r="A38" s="46" t="s">
        <v>159</v>
      </c>
      <c r="B38" s="2"/>
      <c r="C38" s="45">
        <f>O30</f>
        <v>0.47008737688185226</v>
      </c>
    </row>
    <row r="39" spans="1:16">
      <c r="A39" s="35" t="s">
        <v>160</v>
      </c>
      <c r="B39" s="2" t="s">
        <v>25</v>
      </c>
      <c r="C39" s="39">
        <f>C37*C38</f>
        <v>1323.6048552882612</v>
      </c>
    </row>
    <row r="40" spans="1:16">
      <c r="A40" s="46" t="s">
        <v>161</v>
      </c>
      <c r="B40" s="2" t="s">
        <v>162</v>
      </c>
      <c r="C40" s="47">
        <f>C37*(1+$C$25)^(0.5*Zalozenia!$B$38)/O8</f>
        <v>8.818506888752298</v>
      </c>
    </row>
    <row r="41" spans="1:16">
      <c r="A41" s="46" t="s">
        <v>163</v>
      </c>
      <c r="B41" s="2" t="s">
        <v>162</v>
      </c>
      <c r="C41" s="48">
        <f>Zalozenia!$B$39</f>
        <v>6.5</v>
      </c>
    </row>
    <row r="42" spans="1:16">
      <c r="A42" s="46" t="s">
        <v>164</v>
      </c>
      <c r="B42" s="2" t="s">
        <v>25</v>
      </c>
      <c r="C42" s="15">
        <f>C41*O8/(1+$C$25)^(O29+0.5*Zalozenia!$B$38)</f>
        <v>975.610913265496</v>
      </c>
    </row>
    <row r="43" spans="1:16">
      <c r="A43" s="46" t="s">
        <v>165</v>
      </c>
      <c r="B43" s="2" t="s">
        <v>136</v>
      </c>
      <c r="C43" s="28">
        <f>IF((P16+P17-P10+P18)&gt;0,$C$26*P14/(P16+P17-P10+P18),"n/d")</f>
        <v>0.31355911330049274</v>
      </c>
    </row>
    <row r="44" spans="1:16">
      <c r="A44" s="46" t="s">
        <v>166</v>
      </c>
      <c r="B44" s="2" t="s">
        <v>136</v>
      </c>
      <c r="C44" s="28">
        <f>IF((SUM(F16:N16)+SUM(F17:N17)-SUM(F10:N10)+SUM(F18:N18))&gt;0,(O11-F11)*(1-Zalozenia!$B$12)/(SUM(F16:N16)+SUM(F17:N17)-SUM(F10:N10)+SUM(F18:N18)),"n/d")</f>
        <v>0.39765564247038826</v>
      </c>
    </row>
    <row r="45" spans="1:16">
      <c r="A45" s="46" t="s">
        <v>167</v>
      </c>
      <c r="B45" s="2" t="s">
        <v>136</v>
      </c>
      <c r="C45" s="34">
        <f>SUM(K32:O32)/C50</f>
        <v>0.20809898779052863</v>
      </c>
    </row>
    <row r="47" spans="1:16">
      <c r="A47" s="3" t="s">
        <v>168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</row>
    <row r="48" spans="1:16">
      <c r="A48" s="46" t="s">
        <v>169</v>
      </c>
      <c r="B48" s="2" t="s">
        <v>25</v>
      </c>
      <c r="C48" s="15">
        <f>SUM(F32:O32)</f>
        <v>938.1773420774392</v>
      </c>
    </row>
    <row r="49" spans="1:16">
      <c r="A49" s="46" t="s">
        <v>170</v>
      </c>
      <c r="B49" s="2" t="s">
        <v>25</v>
      </c>
      <c r="C49" s="15">
        <f>C39</f>
        <v>1323.6048552882612</v>
      </c>
    </row>
    <row r="50" spans="1:16">
      <c r="A50" s="35" t="s">
        <v>171</v>
      </c>
      <c r="B50" s="2" t="s">
        <v>25</v>
      </c>
      <c r="C50" s="39">
        <f>C48+C49</f>
        <v>2261.7821973657005</v>
      </c>
    </row>
    <row r="51" spans="1:16">
      <c r="A51" s="46" t="s">
        <v>172</v>
      </c>
      <c r="B51" s="2" t="s">
        <v>136</v>
      </c>
      <c r="C51" s="34">
        <f>C49/C50</f>
        <v>0.585204382999329</v>
      </c>
    </row>
    <row r="52" spans="1:16">
      <c r="A52" s="46" t="s">
        <v>173</v>
      </c>
      <c r="B52" s="2" t="s">
        <v>25</v>
      </c>
      <c r="C52" s="49">
        <f>Zalozenia!$B$32</f>
        <v>250.0</v>
      </c>
    </row>
    <row r="53" spans="1:16">
      <c r="A53" s="35" t="s">
        <v>174</v>
      </c>
      <c r="B53" s="2" t="s">
        <v>25</v>
      </c>
      <c r="C53" s="39">
        <f>C50-C52</f>
        <v>2011.7821973657005</v>
      </c>
    </row>
    <row r="54" spans="1:16">
      <c r="A54" s="46" t="s">
        <v>175</v>
      </c>
      <c r="B54" s="2" t="s">
        <v>176</v>
      </c>
      <c r="C54" s="50">
        <f>Zalozenia!$B$10</f>
        <v>24.4</v>
      </c>
    </row>
    <row r="55" spans="1:16">
      <c r="A55" s="35" t="s">
        <v>177</v>
      </c>
      <c r="B55" s="2" t="s">
        <v>178</v>
      </c>
      <c r="C55" s="51">
        <f>C53/C54</f>
        <v>82.45009005597134</v>
      </c>
    </row>
    <row r="56" spans="1:16">
      <c r="A56" s="46" t="s">
        <v>179</v>
      </c>
      <c r="B56" s="2" t="s">
        <v>178</v>
      </c>
      <c r="C56" s="50">
        <f>Zalozenia!$B$9</f>
        <v>44</v>
      </c>
    </row>
    <row r="57" spans="1:16">
      <c r="A57" s="46" t="s">
        <v>180</v>
      </c>
      <c r="B57" s="2" t="s">
        <v>136</v>
      </c>
      <c r="C57" s="34">
        <f>C55/C56-1</f>
        <v>0.8738656830902578</v>
      </c>
    </row>
    <row r="58" spans="1:16">
      <c r="A58" s="46" t="s">
        <v>181</v>
      </c>
      <c r="B58" s="2" t="s">
        <v>162</v>
      </c>
      <c r="C58" s="47">
        <f>C50/F8</f>
        <v>10.283363486369096</v>
      </c>
    </row>
    <row r="59" spans="1:16">
      <c r="A59" s="46" t="s">
        <v>182</v>
      </c>
      <c r="B59" s="2" t="s">
        <v>178</v>
      </c>
      <c r="C59" s="52">
        <f>(C48+C42-C52)/C54</f>
        <v>68.18804325175965</v>
      </c>
    </row>
    <row r="60" spans="1:16">
      <c r="A60" s="35" t="s">
        <v>183</v>
      </c>
      <c r="B60" s="2" t="s">
        <v>136</v>
      </c>
      <c r="C60" s="53">
        <f>IF(C56&gt;$B$80,"poniżej "&amp;SUBSTITUTE(ROUND($A$80*100,2)&amp;"%",".",","),IF(C56&lt;$B$128,"powyżej "&amp;SUBSTITUTE(ROUND($A$128*100,2)&amp;"%",".",","),INDEX($A$80:$A$128,MATCH(C56,$B$80:$B$128,-1))+(INDEX($B$80:$B$128,MATCH(C56,$B$80:$B$128,-1))-C56)/(INDEX($B$80:$B$128,MATCH(C56,$B$80:$B$128,-1))-INDEX($B$80:$B$128,MATCH(C56,$B$80:$B$128,-1)+1))*0.0025))</f>
        <v>0.13624356707214147</v>
      </c>
    </row>
    <row r="62" spans="1:16">
      <c r="A62" s="3" t="s">
        <v>184</v>
      </c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</row>
    <row r="63" spans="1:16">
      <c r="A63" s="54" t="s">
        <v>185</v>
      </c>
      <c r="C63" s="55">
        <f>$C$26+(-2)*Zalozenia!$B$42</f>
        <v>0.015000000000000001</v>
      </c>
      <c r="D63" s="55">
        <f>$C$26+(-1)*Zalozenia!$B$42</f>
        <v>0.02</v>
      </c>
      <c r="E63" s="55">
        <f>$C$26+(0)*Zalozenia!$B$42</f>
        <v>0.025</v>
      </c>
      <c r="F63" s="55">
        <f>$C$26+(1)*Zalozenia!$B$42</f>
        <v>0.030000000000000002</v>
      </c>
      <c r="G63" s="55">
        <f>$C$26+(2)*Zalozenia!$B$42</f>
        <v>0.035</v>
      </c>
    </row>
    <row r="64" spans="1:16">
      <c r="B64" s="55">
        <f>$C$25+(-2)*Zalozenia!$B$41</f>
        <v>0.0800165</v>
      </c>
      <c r="C64" s="56">
        <f>(SUMPRODUCT(($F$31:$O$31)/(1+$B64)^$F$29:$O$29)+$O$6*((1+C$63)*$C$36-Zalozenia!$B$35*C$63)/($B64-C$63)/(1+$B64)^$O$29-C52)/C54</f>
        <v>88.825746659316</v>
      </c>
      <c r="D64" s="56">
        <f>(SUMPRODUCT(($F$31:$O$31)/(1+$B64)^$F$29:$O$29)+$O$6*((1+D$63)*$C$36-Zalozenia!$B$35*D$63)/($B64-D$63)/(1+$B64)^$O$29-C52)/C54</f>
        <v>93.6287372603637</v>
      </c>
      <c r="E64" s="56">
        <f>(SUMPRODUCT(($F$31:$O$31)/(1+$B64)^$F$29:$O$29)+$O$6*((1+E$63)*$C$36-Zalozenia!$B$35*E$63)/($B64-E$63)/(1+$B64)^$O$29-C52)/C54</f>
        <v>99.30473697704899</v>
      </c>
      <c r="F64" s="56">
        <f>(SUMPRODUCT(($F$31:$O$31)/(1+$B64)^$F$29:$O$29)+$O$6*((1+F$63)*$C$36-Zalozenia!$B$35*F$63)/($B64-F$63)/(1+$B64)^$O$29-C52)/C54</f>
        <v>106.11556214467258</v>
      </c>
      <c r="G64" s="56">
        <f>(SUMPRODUCT(($F$31:$O$31)/(1+$B64)^$F$29:$O$29)+$O$6*((1+G$63)*$C$36-Zalozenia!$B$35*G$63)/($B64-G$63)/(1+$B64)^$O$29-C52)/C54</f>
        <v>114.43934926349704</v>
      </c>
    </row>
    <row r="65" spans="1:16">
      <c r="B65" s="55">
        <f>$C$25+(-1)*Zalozenia!$B$41</f>
        <v>0.0850165</v>
      </c>
      <c r="C65" s="56">
        <f>(SUMPRODUCT(($F$31:$O$31)/(1+$B65)^$F$29:$O$29)+$O$6*((1+C$63)*$C$36-Zalozenia!$B$35*C$63)/($B65-C$63)/(1+$B65)^$O$29-C52)/C54</f>
        <v>81.62302410995252</v>
      </c>
      <c r="D65" s="56">
        <f>(SUMPRODUCT(($F$31:$O$31)/(1+$B65)^$F$29:$O$29)+$O$6*((1+D$63)*$C$36-Zalozenia!$B$35*D$63)/($B65-D$63)/(1+$B65)^$O$29-C52)/C54</f>
        <v>85.56963048185952</v>
      </c>
      <c r="E65" s="56">
        <f>(SUMPRODUCT(($F$31:$O$31)/(1+$B65)^$F$29:$O$29)+$O$6*((1+E$63)*$C$36-Zalozenia!$B$35*E$63)/($B65-E$63)/(1+$B65)^$O$29-C52)/C54</f>
        <v>90.17382374602226</v>
      </c>
      <c r="F65" s="56">
        <f>(SUMPRODUCT(($F$31:$O$31)/(1+$B65)^$F$29:$O$29)+$O$6*((1+F$63)*$C$36-Zalozenia!$B$35*F$63)/($B65-F$63)/(1+$B65)^$O$29-C52)/C54</f>
        <v>95.61489199571898</v>
      </c>
      <c r="G65" s="56">
        <f>(SUMPRODUCT(($F$31:$O$31)/(1+$B65)^$F$29:$O$29)+$O$6*((1+G$63)*$C$36-Zalozenia!$B$35*G$63)/($B65-G$63)/(1+$B65)^$O$29-C52)/C54</f>
        <v>102.14381490331793</v>
      </c>
    </row>
    <row r="66" spans="1:16">
      <c r="B66" s="55">
        <f>$C$25+(0)*Zalozenia!$B$41</f>
        <v>0.0900165</v>
      </c>
      <c r="C66" s="56">
        <f>(SUMPRODUCT(($F$31:$O$31)/(1+$B66)^$F$29:$O$29)+$O$6*((1+C$63)*$C$36-Zalozenia!$B$35*C$63)/($B66-C$63)/(1+$B66)^$O$29-C52)/C54</f>
        <v>75.38661296524427</v>
      </c>
      <c r="D66" s="56">
        <f>(SUMPRODUCT(($F$31:$O$31)/(1+$B66)^$F$29:$O$29)+$O$6*((1+D$63)*$C$36-Zalozenia!$B$35*D$63)/($B66-D$63)/(1+$B66)^$O$29-C52)/C54</f>
        <v>78.6661439205852</v>
      </c>
      <c r="E66" s="57">
        <f>(SUMPRODUCT(($F$31:$O$31)/(1+$B66)^$F$29:$O$29)+$O$6*((1+E$63)*$C$36-Zalozenia!$B$35*E$63)/($B66-E$63)/(1+$B66)^$O$29-C52)/C54</f>
        <v>82.4500900559713</v>
      </c>
      <c r="F66" s="56">
        <f>(SUMPRODUCT(($F$31:$O$31)/(1+$B66)^$F$29:$O$29)+$O$6*((1+F$63)*$C$36-Zalozenia!$B$35*F$63)/($B66-F$63)/(1+$B66)^$O$29-C52)/C54</f>
        <v>86.86452049740431</v>
      </c>
      <c r="G66" s="56">
        <f>(SUMPRODUCT(($F$31:$O$31)/(1+$B66)^$F$29:$O$29)+$O$6*((1+G$63)*$C$36-Zalozenia!$B$35*G$63)/($B66-G$63)/(1+$B66)^$O$29-C52)/C54</f>
        <v>92.08133394056097</v>
      </c>
    </row>
    <row r="67" spans="1:16">
      <c r="B67" s="55">
        <f>$C$25+(1)*Zalozenia!$B$41</f>
        <v>0.0950165</v>
      </c>
      <c r="C67" s="56">
        <f>(SUMPRODUCT(($F$31:$O$31)/(1+$B67)^$F$29:$O$29)+$O$6*((1+C$63)*$C$36-Zalozenia!$B$35*C$63)/($B67-C$63)/(1+$B67)^$O$29-C52)/C54</f>
        <v>69.9351574197791</v>
      </c>
      <c r="D67" s="56">
        <f>(SUMPRODUCT(($F$31:$O$31)/(1+$B67)^$F$29:$O$29)+$O$6*((1+D$63)*$C$36-Zalozenia!$B$35*D$63)/($B67-D$63)/(1+$B67)^$O$29-C52)/C54</f>
        <v>72.68705517309454</v>
      </c>
      <c r="E67" s="56">
        <f>(SUMPRODUCT(($F$31:$O$31)/(1+$B67)^$F$29:$O$29)+$O$6*((1+E$63)*$C$36-Zalozenia!$B$35*E$63)/($B67-E$63)/(1+$B67)^$O$29-C52)/C54</f>
        <v>75.83198853277635</v>
      </c>
      <c r="F67" s="56">
        <f>(SUMPRODUCT(($F$31:$O$31)/(1+$B67)^$F$29:$O$29)+$O$6*((1+F$63)*$C$36-Zalozenia!$B$35*F$63)/($B67-F$63)/(1+$B67)^$O$29-C52)/C54</f>
        <v>79.46063500523451</v>
      </c>
      <c r="G67" s="56">
        <f>(SUMPRODUCT(($F$31:$O$31)/(1+$B67)^$F$29:$O$29)+$O$6*((1+G$63)*$C$36-Zalozenia!$B$35*G$63)/($B67-G$63)/(1+$B67)^$O$29-C52)/C54</f>
        <v>83.69388962252914</v>
      </c>
    </row>
    <row r="68" spans="1:16">
      <c r="B68" s="55">
        <f>$C$25+(2)*Zalozenia!$B$41</f>
        <v>0.1000165</v>
      </c>
      <c r="C68" s="56">
        <f>(SUMPRODUCT(($F$31:$O$31)/(1+$B68)^$F$29:$O$29)+$O$6*((1+C$63)*$C$36-Zalozenia!$B$35*C$63)/($B68-C$63)/(1+$B68)^$O$29-C52)/C54</f>
        <v>65.12997379724159</v>
      </c>
      <c r="D68" s="56">
        <f>(SUMPRODUCT(($F$31:$O$31)/(1+$B68)^$F$29:$O$29)+$O$6*((1+D$63)*$C$36-Zalozenia!$B$35*D$63)/($B68-D$63)/(1+$B68)^$O$29-C52)/C54</f>
        <v>67.45894129513687</v>
      </c>
      <c r="E68" s="56">
        <f>(SUMPRODUCT(($F$31:$O$31)/(1+$B68)^$F$29:$O$29)+$O$6*((1+E$63)*$C$36-Zalozenia!$B$35*E$63)/($B68-E$63)/(1+$B68)^$O$29-C52)/C54</f>
        <v>70.09836949139785</v>
      </c>
      <c r="F68" s="56">
        <f>(SUMPRODUCT(($F$31:$O$31)/(1+$B68)^$F$29:$O$29)+$O$6*((1+F$63)*$C$36-Zalozenia!$B$35*F$63)/($B68-F$63)/(1+$B68)^$O$29-C52)/C54</f>
        <v>73.11477000079375</v>
      </c>
      <c r="G68" s="56">
        <f>(SUMPRODUCT(($F$31:$O$31)/(1+$B68)^$F$29:$O$29)+$O$6*((1+G$63)*$C$36-Zalozenia!$B$35*G$63)/($B68-G$63)/(1+$B68)^$O$29-C52)/C54</f>
        <v>76.59511435665875</v>
      </c>
    </row>
    <row r="70" spans="1:16">
      <c r="A70" s="3" t="s">
        <v>186</v>
      </c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</row>
    <row r="71" spans="1:16">
      <c r="A71" s="54" t="s">
        <v>187</v>
      </c>
      <c r="C71" s="58">
        <f>(-2)*Zalozenia!$B$43</f>
        <v>-0.02</v>
      </c>
      <c r="D71" s="58">
        <f>(-1)*Zalozenia!$B$43</f>
        <v>-0.01</v>
      </c>
      <c r="E71" s="58">
        <f>(0)*Zalozenia!$B$43</f>
        <v>0.0</v>
      </c>
      <c r="F71" s="58">
        <f>(1)*Zalozenia!$B$43</f>
        <v>0.01</v>
      </c>
      <c r="G71" s="58">
        <f>(2)*Zalozenia!$B$43</f>
        <v>0.02</v>
      </c>
    </row>
    <row r="72" spans="1:16">
      <c r="B72" s="55">
        <f>$C$25+(-2)*Zalozenia!$B$41</f>
        <v>0.0800165</v>
      </c>
      <c r="C72" s="56">
        <f>(SUMPRODUCT(($F$31:$O$31+C$71*$F$6:$O$6*(1-$F$12:$O$12)*$F$28:$O$28)/(1+$B72)^$F$29:$O$29)+$O$6*((1+$C$26)*($C$36+C$71*(1-Zalozenia!$B$12))-Zalozenia!$B$35*$C$26)/($B72-$C$26)/(1+$B72)^$O$29-C52)/C54</f>
        <v>78.218113946691</v>
      </c>
      <c r="D72" s="56">
        <f>(SUMPRODUCT(($F$31:$O$31+D$71*$F$6:$O$6*(1-$F$12:$O$12)*$F$28:$O$28)/(1+$B72)^$F$29:$O$29)+$O$6*((1+$C$26)*($C$36+D$71*(1-Zalozenia!$B$12))-Zalozenia!$B$35*$C$26)/($B72-$C$26)/(1+$B72)^$O$29-C52)/C54</f>
        <v>88.76142546187002</v>
      </c>
      <c r="E72" s="56">
        <f>(SUMPRODUCT(($F$31:$O$31+E$71*$F$6:$O$6*(1-$F$12:$O$12)*$F$28:$O$28)/(1+$B72)^$F$29:$O$29)+$O$6*((1+$C$26)*($C$36+E$71*(1-Zalozenia!$B$12))-Zalozenia!$B$35*$C$26)/($B72-$C$26)/(1+$B72)^$O$29-C52)/C54</f>
        <v>99.30473697704899</v>
      </c>
      <c r="F72" s="56">
        <f>(SUMPRODUCT(($F$31:$O$31+F$71*$F$6:$O$6*(1-$F$12:$O$12)*$F$28:$O$28)/(1+$B72)^$F$29:$O$29)+$O$6*((1+$C$26)*($C$36+F$71*(1-Zalozenia!$B$12))-Zalozenia!$B$35*$C$26)/($B72-$C$26)/(1+$B72)^$O$29-C52)/C54</f>
        <v>109.84804849222797</v>
      </c>
      <c r="G72" s="56">
        <f>(SUMPRODUCT(($F$31:$O$31+G$71*$F$6:$O$6*(1-$F$12:$O$12)*$F$28:$O$28)/(1+$B72)^$F$29:$O$29)+$O$6*((1+$C$26)*($C$36+G$71*(1-Zalozenia!$B$12))-Zalozenia!$B$35*$C$26)/($B72-$C$26)/(1+$B72)^$O$29-C52)/C54</f>
        <v>120.39136000740699</v>
      </c>
    </row>
    <row r="73" spans="1:16">
      <c r="B73" s="55">
        <f>$C$25+(-1)*Zalozenia!$B$41</f>
        <v>0.0850165</v>
      </c>
      <c r="C73" s="56">
        <f>(SUMPRODUCT(($F$31:$O$31+C$71*$F$6:$O$6*(1-$F$12:$O$12)*$F$28:$O$28)/(1+$B73)^$F$29:$O$29)+$O$6*((1+$C$26)*($C$36+C$71*(1-Zalozenia!$B$12))-Zalozenia!$B$35*$C$26)/($B73-$C$26)/(1+$B73)^$O$29-C52)/C54</f>
        <v>70.81561044253338</v>
      </c>
      <c r="D73" s="56">
        <f>(SUMPRODUCT(($F$31:$O$31+D$71*$F$6:$O$6*(1-$F$12:$O$12)*$F$28:$O$28)/(1+$B73)^$F$29:$O$29)+$O$6*((1+$C$26)*($C$36+D$71*(1-Zalozenia!$B$12))-Zalozenia!$B$35*$C$26)/($B73-$C$26)/(1+$B73)^$O$29-C52)/C54</f>
        <v>80.49471709427783</v>
      </c>
      <c r="E73" s="56">
        <f>(SUMPRODUCT(($F$31:$O$31+E$71*$F$6:$O$6*(1-$F$12:$O$12)*$F$28:$O$28)/(1+$B73)^$F$29:$O$29)+$O$6*((1+$C$26)*($C$36+E$71*(1-Zalozenia!$B$12))-Zalozenia!$B$35*$C$26)/($B73-$C$26)/(1+$B73)^$O$29-C52)/C54</f>
        <v>90.17382374602226</v>
      </c>
      <c r="F73" s="56">
        <f>(SUMPRODUCT(($F$31:$O$31+F$71*$F$6:$O$6*(1-$F$12:$O$12)*$F$28:$O$28)/(1+$B73)^$F$29:$O$29)+$O$6*((1+$C$26)*($C$36+F$71*(1-Zalozenia!$B$12))-Zalozenia!$B$35*$C$26)/($B73-$C$26)/(1+$B73)^$O$29-C52)/C54</f>
        <v>99.85293039776674</v>
      </c>
      <c r="G73" s="56">
        <f>(SUMPRODUCT(($F$31:$O$31+G$71*$F$6:$O$6*(1-$F$12:$O$12)*$F$28:$O$28)/(1+$B73)^$F$29:$O$29)+$O$6*((1+$C$26)*($C$36+G$71*(1-Zalozenia!$B$12))-Zalozenia!$B$35*$C$26)/($B73-$C$26)/(1+$B73)^$O$29-C52)/C54</f>
        <v>109.53203704951119</v>
      </c>
    </row>
    <row r="74" spans="1:16">
      <c r="B74" s="55">
        <f>$C$25+(0)*Zalozenia!$B$41</f>
        <v>0.0900165</v>
      </c>
      <c r="C74" s="56">
        <f>(SUMPRODUCT(($F$31:$O$31+C$71*$F$6:$O$6*(1-$F$12:$O$12)*$F$28:$O$28)/(1+$B74)^$F$29:$O$29)+$O$6*((1+$C$26)*($C$36+C$71*(1-Zalozenia!$B$12))-Zalozenia!$B$35*$C$26)/($B74-$C$26)/(1+$B74)^$O$29-C52)/C54</f>
        <v>64.5543038631119</v>
      </c>
      <c r="D74" s="56">
        <f>(SUMPRODUCT(($F$31:$O$31+D$71*$F$6:$O$6*(1-$F$12:$O$12)*$F$28:$O$28)/(1+$B74)^$F$29:$O$29)+$O$6*((1+$C$26)*($C$36+D$71*(1-Zalozenia!$B$12))-Zalozenia!$B$35*$C$26)/($B74-$C$26)/(1+$B74)^$O$29-C52)/C54</f>
        <v>73.5021969595416</v>
      </c>
      <c r="E74" s="57">
        <f>(SUMPRODUCT(($F$31:$O$31+E$71*$F$6:$O$6*(1-$F$12:$O$12)*$F$28:$O$28)/(1+$B74)^$F$29:$O$29)+$O$6*((1+$C$26)*($C$36+E$71*(1-Zalozenia!$B$12))-Zalozenia!$B$35*$C$26)/($B74-$C$26)/(1+$B74)^$O$29-C52)/C54</f>
        <v>82.4500900559713</v>
      </c>
      <c r="F74" s="56">
        <f>(SUMPRODUCT(($F$31:$O$31+F$71*$F$6:$O$6*(1-$F$12:$O$12)*$F$28:$O$28)/(1+$B74)^$F$29:$O$29)+$O$6*((1+$C$26)*($C$36+F$71*(1-Zalozenia!$B$12))-Zalozenia!$B$35*$C$26)/($B74-$C$26)/(1+$B74)^$O$29-C52)/C54</f>
        <v>91.39798315240104</v>
      </c>
      <c r="G74" s="56">
        <f>(SUMPRODUCT(($F$31:$O$31+G$71*$F$6:$O$6*(1-$F$12:$O$12)*$F$28:$O$28)/(1+$B74)^$F$29:$O$29)+$O$6*((1+$C$26)*($C$36+G$71*(1-Zalozenia!$B$12))-Zalozenia!$B$35*$C$26)/($B74-$C$26)/(1+$B74)^$O$29-C52)/C54</f>
        <v>100.34587624883075</v>
      </c>
    </row>
    <row r="75" spans="1:16">
      <c r="B75" s="55">
        <f>$C$25+(1)*Zalozenia!$B$41</f>
        <v>0.0950165</v>
      </c>
      <c r="C75" s="56">
        <f>(SUMPRODUCT(($F$31:$O$31+C$71*$F$6:$O$6*(1-$F$12:$O$12)*$F$28:$O$28)/(1+$B75)^$F$29:$O$29)+$O$6*((1+$C$26)*($C$36+C$71*(1-Zalozenia!$B$12))-Zalozenia!$B$35*$C$26)/($B75-$C$26)/(1+$B75)^$O$29-C52)/C54</f>
        <v>59.18963485370731</v>
      </c>
      <c r="D75" s="56">
        <f>(SUMPRODUCT(($F$31:$O$31+D$71*$F$6:$O$6*(1-$F$12:$O$12)*$F$28:$O$28)/(1+$B75)^$F$29:$O$29)+$O$6*((1+$C$26)*($C$36+D$71*(1-Zalozenia!$B$12))-Zalozenia!$B$35*$C$26)/($B75-$C$26)/(1+$B75)^$O$29-C52)/C54</f>
        <v>67.51081169324185</v>
      </c>
      <c r="E75" s="56">
        <f>(SUMPRODUCT(($F$31:$O$31+E$71*$F$6:$O$6*(1-$F$12:$O$12)*$F$28:$O$28)/(1+$B75)^$F$29:$O$29)+$O$6*((1+$C$26)*($C$36+E$71*(1-Zalozenia!$B$12))-Zalozenia!$B$35*$C$26)/($B75-$C$26)/(1+$B75)^$O$29-C52)/C54</f>
        <v>75.83198853277635</v>
      </c>
      <c r="F75" s="56">
        <f>(SUMPRODUCT(($F$31:$O$31+F$71*$F$6:$O$6*(1-$F$12:$O$12)*$F$28:$O$28)/(1+$B75)^$F$29:$O$29)+$O$6*((1+$C$26)*($C$36+F$71*(1-Zalozenia!$B$12))-Zalozenia!$B$35*$C$26)/($B75-$C$26)/(1+$B75)^$O$29-C52)/C54</f>
        <v>84.15316537231091</v>
      </c>
      <c r="G75" s="56">
        <f>(SUMPRODUCT(($F$31:$O$31+G$71*$F$6:$O$6*(1-$F$12:$O$12)*$F$28:$O$28)/(1+$B75)^$F$29:$O$29)+$O$6*((1+$C$26)*($C$36+G$71*(1-Zalozenia!$B$12))-Zalozenia!$B$35*$C$26)/($B75-$C$26)/(1+$B75)^$O$29-C52)/C54</f>
        <v>92.47434221184544</v>
      </c>
    </row>
    <row r="76" spans="1:16">
      <c r="B76" s="55">
        <f>$C$25+(2)*Zalozenia!$B$41</f>
        <v>0.1000165</v>
      </c>
      <c r="C76" s="56">
        <f>(SUMPRODUCT(($F$31:$O$31+C$71*$F$6:$O$6*(1-$F$12:$O$12)*$F$28:$O$28)/(1+$B76)^$F$29:$O$29)+$O$6*((1+$C$26)*($C$36+C$71*(1-Zalozenia!$B$12))-Zalozenia!$B$35*$C$26)/($B76-$C$26)/(1+$B76)^$O$29-C52)/C54</f>
        <v>54.54224810850982</v>
      </c>
      <c r="D76" s="56">
        <f>(SUMPRODUCT(($F$31:$O$31+D$71*$F$6:$O$6*(1-$F$12:$O$12)*$F$28:$O$28)/(1+$B76)^$F$29:$O$29)+$O$6*((1+$C$26)*($C$36+D$71*(1-Zalozenia!$B$12))-Zalozenia!$B$35*$C$26)/($B76-$C$26)/(1+$B76)^$O$29-C52)/C54</f>
        <v>62.32030879995384</v>
      </c>
      <c r="E76" s="56">
        <f>(SUMPRODUCT(($F$31:$O$31+E$71*$F$6:$O$6*(1-$F$12:$O$12)*$F$28:$O$28)/(1+$B76)^$F$29:$O$29)+$O$6*((1+$C$26)*($C$36+E$71*(1-Zalozenia!$B$12))-Zalozenia!$B$35*$C$26)/($B76-$C$26)/(1+$B76)^$O$29-C52)/C54</f>
        <v>70.09836949139785</v>
      </c>
      <c r="F76" s="56">
        <f>(SUMPRODUCT(($F$31:$O$31+F$71*$F$6:$O$6*(1-$F$12:$O$12)*$F$28:$O$28)/(1+$B76)^$F$29:$O$29)+$O$6*((1+$C$26)*($C$36+F$71*(1-Zalozenia!$B$12))-Zalozenia!$B$35*$C$26)/($B76-$C$26)/(1+$B76)^$O$29-C52)/C54</f>
        <v>77.87643018284189</v>
      </c>
      <c r="G76" s="56">
        <f>(SUMPRODUCT(($F$31:$O$31+G$71*$F$6:$O$6*(1-$F$12:$O$12)*$F$28:$O$28)/(1+$B76)^$F$29:$O$29)+$O$6*((1+$C$26)*($C$36+G$71*(1-Zalozenia!$B$12))-Zalozenia!$B$35*$C$26)/($B76-$C$26)/(1+$B76)^$O$29-C52)/C54</f>
        <v>85.6544908742859</v>
      </c>
    </row>
    <row r="78" spans="1:16">
      <c r="A78" s="3" t="s">
        <v>188</v>
      </c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</row>
    <row r="79" spans="1:16">
      <c r="A79" s="35" t="s">
        <v>189</v>
      </c>
      <c r="B79" s="35" t="s">
        <v>190</v>
      </c>
    </row>
    <row r="80" spans="1:16">
      <c r="A80" s="59">
        <f>$C$26+0.005+0.0025*0</f>
        <v>0.030000000000000002</v>
      </c>
      <c r="B80" s="52">
        <f>(SUMPRODUCT(($F$31:$O$31)/(1+$A80)^$F$29:$O$29)+$O$6*((1+$C$26)*$C$36-Zalozenia!$B$35*$C$26)/($A80-$C$26)/(1+$A80)^$O$29-C52)/C54</f>
        <v>1197.946951400302</v>
      </c>
    </row>
    <row r="81" spans="1:2">
      <c r="A81" s="59">
        <f>$C$26+0.005+0.0025*1</f>
        <v>0.0325</v>
      </c>
      <c r="B81" s="52">
        <f>(SUMPRODUCT(($F$31:$O$31)/(1+$A81)^$F$29:$O$29)+$O$6*((1+$C$26)*$C$36-Zalozenia!$B$35*$C$26)/($A81-$C$26)/(1+$A81)^$O$29-C52)/C54</f>
        <v>795.0503459206002</v>
      </c>
    </row>
    <row r="82" spans="1:2">
      <c r="A82" s="59">
        <f>$C$26+0.005+0.0025*2</f>
        <v>0.035</v>
      </c>
      <c r="B82" s="52">
        <f>(SUMPRODUCT(($F$31:$O$31)/(1+$A82)^$F$29:$O$29)+$O$6*((1+$C$26)*$C$36-Zalozenia!$B$35*$C$26)/($A82-$C$26)/(1+$A82)^$O$29-C52)/C54</f>
        <v>593.6084087790174</v>
      </c>
    </row>
    <row r="83" spans="1:2">
      <c r="A83" s="59">
        <f>$C$26+0.005+0.0025*3</f>
        <v>0.037500000000000006</v>
      </c>
      <c r="B83" s="52">
        <f>(SUMPRODUCT(($F$31:$O$31)/(1+$A83)^$F$29:$O$29)+$O$6*((1+$C$26)*$C$36-Zalozenia!$B$35*$C$26)/($A83-$C$26)/(1+$A83)^$O$29-C52)/C54</f>
        <v>472.7482538842076</v>
      </c>
    </row>
    <row r="84" spans="1:2">
      <c r="A84" s="59">
        <f>$C$26+0.005+0.0025*4</f>
        <v>0.04</v>
      </c>
      <c r="B84" s="52">
        <f>(SUMPRODUCT(($F$31:$O$31)/(1+$A84)^$F$29:$O$29)+$O$6*((1+$C$26)*$C$36-Zalozenia!$B$35*$C$26)/($A84-$C$26)/(1+$A84)^$O$29-C52)/C54</f>
        <v>392.1789206202457</v>
      </c>
    </row>
    <row r="85" spans="1:2">
      <c r="A85" s="59">
        <f>$C$26+0.005+0.0025*5</f>
        <v>0.0425</v>
      </c>
      <c r="B85" s="52">
        <f>(SUMPRODUCT(($F$31:$O$31)/(1+$A85)^$F$29:$O$29)+$O$6*((1+$C$26)*$C$36-Zalozenia!$B$35*$C$26)/($A85-$C$26)/(1+$A85)^$O$29-C52)/C54</f>
        <v>334.6328556217002</v>
      </c>
    </row>
    <row r="86" spans="1:2">
      <c r="A86" s="59">
        <f>$C$26+0.005+0.0025*6</f>
        <v>0.045</v>
      </c>
      <c r="B86" s="52">
        <f>(SUMPRODUCT(($F$31:$O$31)/(1+$A86)^$F$29:$O$29)+$O$6*((1+$C$26)*$C$36-Zalozenia!$B$35*$C$26)/($A86-$C$26)/(1+$A86)^$O$29-C52)/C54</f>
        <v>291.47628321805695</v>
      </c>
    </row>
    <row r="87" spans="1:2">
      <c r="A87" s="59">
        <f>$C$26+0.005+0.0025*7</f>
        <v>0.0475</v>
      </c>
      <c r="B87" s="52">
        <f>(SUMPRODUCT(($F$31:$O$31)/(1+$A87)^$F$29:$O$29)+$O$6*((1+$C$26)*$C$36-Zalozenia!$B$35*$C$26)/($A87-$C$26)/(1+$A87)^$O$29-C52)/C54</f>
        <v>257.9126622490846</v>
      </c>
    </row>
    <row r="88" spans="1:2">
      <c r="A88" s="59">
        <f>$C$26+0.005+0.0025*8</f>
        <v>0.05</v>
      </c>
      <c r="B88" s="52">
        <f>(SUMPRODUCT(($F$31:$O$31)/(1+$A88)^$F$29:$O$29)+$O$6*((1+$C$26)*$C$36-Zalozenia!$B$35*$C$26)/($A88-$C$26)/(1+$A88)^$O$29-C52)/C54</f>
        <v>231.06406879147303</v>
      </c>
    </row>
    <row r="89" spans="1:2">
      <c r="A89" s="59">
        <f>$C$26+0.005+0.0025*9</f>
        <v>0.052500000000000005</v>
      </c>
      <c r="B89" s="52">
        <f>(SUMPRODUCT(($F$31:$O$31)/(1+$A89)^$F$29:$O$29)+$O$6*((1+$C$26)*$C$36-Zalozenia!$B$35*$C$26)/($A89-$C$26)/(1+$A89)^$O$29-C52)/C54</f>
        <v>209.0990973986426</v>
      </c>
    </row>
    <row r="90" spans="1:2">
      <c r="A90" s="59">
        <f>$C$26+0.005+0.0025*10</f>
        <v>0.05500000000000001</v>
      </c>
      <c r="B90" s="52">
        <f>(SUMPRODUCT(($F$31:$O$31)/(1+$A90)^$F$29:$O$29)+$O$6*((1+$C$26)*$C$36-Zalozenia!$B$35*$C$26)/($A90-$C$26)/(1+$A90)^$O$29-C52)/C54</f>
        <v>190.79681172103747</v>
      </c>
    </row>
    <row r="91" spans="1:2">
      <c r="A91" s="59">
        <f>$C$26+0.005+0.0025*11</f>
        <v>0.0575</v>
      </c>
      <c r="B91" s="52">
        <f>(SUMPRODUCT(($F$31:$O$31)/(1+$A91)^$F$29:$O$29)+$O$6*((1+$C$26)*$C$36-Zalozenia!$B$35*$C$26)/($A91-$C$26)/(1+$A91)^$O$29-C52)/C54</f>
        <v>175.3119486866264</v>
      </c>
    </row>
    <row r="92" spans="1:2">
      <c r="A92" s="59">
        <f>$C$26+0.005+0.0025*12</f>
        <v>0.06</v>
      </c>
      <c r="B92" s="52">
        <f>(SUMPRODUCT(($F$31:$O$31)/(1+$A92)^$F$29:$O$29)+$O$6*((1+$C$26)*$C$36-Zalozenia!$B$35*$C$26)/($A92-$C$26)/(1+$A92)^$O$29-C52)/C54</f>
        <v>162.04074946150143</v>
      </c>
    </row>
    <row r="93" spans="1:2">
      <c r="A93" s="59">
        <f>$C$26+0.005+0.0025*13</f>
        <v>0.0625</v>
      </c>
      <c r="B93" s="52">
        <f>(SUMPRODUCT(($F$31:$O$31)/(1+$A93)^$F$29:$O$29)+$O$6*((1+$C$26)*$C$36-Zalozenia!$B$35*$C$26)/($A93-$C$26)/(1+$A93)^$O$29-C52)/C54</f>
        <v>150.54045802651726</v>
      </c>
    </row>
    <row r="94" spans="1:2">
      <c r="A94" s="59">
        <f>$C$26+0.005+0.0025*14</f>
        <v>0.065</v>
      </c>
      <c r="B94" s="52">
        <f>(SUMPRODUCT(($F$31:$O$31)/(1+$A94)^$F$29:$O$29)+$O$6*((1+$C$26)*$C$36-Zalozenia!$B$35*$C$26)/($A94-$C$26)/(1+$A94)^$O$29-C52)/C54</f>
        <v>140.47900778794892</v>
      </c>
    </row>
    <row r="95" spans="1:2">
      <c r="A95" s="59">
        <f>$C$26+0.005+0.0025*15</f>
        <v>0.0675</v>
      </c>
      <c r="B95" s="52">
        <f>(SUMPRODUCT(($F$31:$O$31)/(1+$A95)^$F$29:$O$29)+$O$6*((1+$C$26)*$C$36-Zalozenia!$B$35*$C$26)/($A95-$C$26)/(1+$A95)^$O$29-C52)/C54</f>
        <v>131.60246585521114</v>
      </c>
    </row>
    <row r="96" spans="1:2">
      <c r="A96" s="59">
        <f>$C$26+0.005+0.0025*16</f>
        <v>0.07</v>
      </c>
      <c r="B96" s="52">
        <f>(SUMPRODUCT(($F$31:$O$31)/(1+$A96)^$F$29:$O$29)+$O$6*((1+$C$26)*$C$36-Zalozenia!$B$35*$C$26)/($A96-$C$26)/(1+$A96)^$O$29-C52)/C54</f>
        <v>123.71332922621878</v>
      </c>
    </row>
    <row r="97" spans="1:2">
      <c r="A97" s="59">
        <f>$C$26+0.005+0.0025*17</f>
        <v>0.07250000000000001</v>
      </c>
      <c r="B97" s="52">
        <f>(SUMPRODUCT(($F$31:$O$31)/(1+$A97)^$F$29:$O$29)+$O$6*((1+$C$26)*$C$36-Zalozenia!$B$35*$C$26)/($A97-$C$26)/(1+$A97)^$O$29-C52)/C54</f>
        <v>116.65567480914952</v>
      </c>
    </row>
    <row r="98" spans="1:2">
      <c r="A98" s="59">
        <f>$C$26+0.005+0.0025*18</f>
        <v>0.075</v>
      </c>
      <c r="B98" s="52">
        <f>(SUMPRODUCT(($F$31:$O$31)/(1+$A98)^$F$29:$O$29)+$O$6*((1+$C$26)*$C$36-Zalozenia!$B$35*$C$26)/($A98-$C$26)/(1+$A98)^$O$29-C52)/C54</f>
        <v>110.30476443785822</v>
      </c>
    </row>
    <row r="99" spans="1:2">
      <c r="A99" s="59">
        <f>$C$26+0.005+0.0025*19</f>
        <v>0.0775</v>
      </c>
      <c r="B99" s="52">
        <f>(SUMPRODUCT(($F$31:$O$31)/(1+$A99)^$F$29:$O$29)+$O$6*((1+$C$26)*$C$36-Zalozenia!$B$35*$C$26)/($A99-$C$26)/(1+$A99)^$O$29-C52)/C54</f>
        <v>104.55961988305876</v>
      </c>
    </row>
    <row r="100" spans="1:2">
      <c r="A100" s="59">
        <f>$C$26+0.005+0.0025*20</f>
        <v>0.08</v>
      </c>
      <c r="B100" s="52">
        <f>(SUMPRODUCT(($F$31:$O$31)/(1+$A100)^$F$29:$O$29)+$O$6*((1+$C$26)*$C$36-Zalozenia!$B$35*$C$26)/($A100-$C$26)/(1+$A100)^$O$29-C52)/C54</f>
        <v>99.33762286061233</v>
      </c>
    </row>
    <row r="101" spans="1:2">
      <c r="A101" s="59">
        <f>$C$26+0.005+0.0025*21</f>
        <v>0.0825</v>
      </c>
      <c r="B101" s="52">
        <f>(SUMPRODUCT(($F$31:$O$31)/(1+$A101)^$F$29:$O$29)+$O$6*((1+$C$26)*$C$36-Zalozenia!$B$35*$C$26)/($A101-$C$26)/(1+$A101)^$O$29-C52)/C54</f>
        <v>94.57052373345277</v>
      </c>
    </row>
    <row r="102" spans="1:2">
      <c r="A102" s="59">
        <f>$C$26+0.005+0.0025*22</f>
        <v>0.085</v>
      </c>
      <c r="B102" s="52">
        <f>(SUMPRODUCT(($F$31:$O$31)/(1+$A102)^$F$29:$O$29)+$O$6*((1+$C$26)*$C$36-Zalozenia!$B$35*$C$26)/($A102-$C$26)/(1+$A102)^$O$29-C52)/C54</f>
        <v>90.20144803816511</v>
      </c>
    </row>
    <row r="103" spans="1:2">
      <c r="A103" s="59">
        <f>$C$26+0.005+0.0025*23</f>
        <v>0.08750000000000001</v>
      </c>
      <c r="B103" s="52">
        <f>(SUMPRODUCT(($F$31:$O$31)/(1+$A103)^$F$29:$O$29)+$O$6*((1+$C$26)*$C$36-Zalozenia!$B$35*$C$26)/($A103-$C$26)/(1+$A103)^$O$29-C52)/C54</f>
        <v>86.18262144531386</v>
      </c>
    </row>
    <row r="104" spans="1:2">
      <c r="A104" s="59">
        <f>$C$26+0.005+0.0025*24</f>
        <v>0.09</v>
      </c>
      <c r="B104" s="52">
        <f>(SUMPRODUCT(($F$31:$O$31)/(1+$A104)^$F$29:$O$29)+$O$6*((1+$C$26)*$C$36-Zalozenia!$B$35*$C$26)/($A104-$C$26)/(1+$A104)^$O$29-C52)/C54</f>
        <v>82.47361972904397</v>
      </c>
    </row>
    <row r="105" spans="1:2">
      <c r="A105" s="59">
        <f>$C$26+0.005+0.0025*25</f>
        <v>0.0925</v>
      </c>
      <c r="B105" s="52">
        <f>(SUMPRODUCT(($F$31:$O$31)/(1+$A105)^$F$29:$O$29)+$O$6*((1+$C$26)*$C$36-Zalozenia!$B$35*$C$26)/($A105-$C$26)/(1+$A105)^$O$29-C52)/C54</f>
        <v>79.04000763243812</v>
      </c>
    </row>
    <row r="106" spans="1:2">
      <c r="A106" s="59">
        <f>$C$26+0.005+0.0025*26</f>
        <v>0.095</v>
      </c>
      <c r="B106" s="52">
        <f>(SUMPRODUCT(($F$31:$O$31)/(1+$A106)^$F$29:$O$29)+$O$6*((1+$C$26)*$C$36-Zalozenia!$B$35*$C$26)/($A106-$C$26)/(1+$A106)^$O$29-C52)/C54</f>
        <v>75.85226940468607</v>
      </c>
    </row>
    <row r="107" spans="1:2">
      <c r="A107" s="59">
        <f>$C$26+0.005+0.0025*27</f>
        <v>0.0975</v>
      </c>
      <c r="B107" s="52">
        <f>(SUMPRODUCT(($F$31:$O$31)/(1+$A107)^$F$29:$O$29)+$O$6*((1+$C$26)*$C$36-Zalozenia!$B$35*$C$26)/($A107-$C$26)/(1+$A107)^$O$29-C52)/C54</f>
        <v>72.88496060652497</v>
      </c>
    </row>
    <row r="108" spans="1:2">
      <c r="A108" s="59">
        <f>$C$26+0.005+0.0025*28</f>
        <v>0.1</v>
      </c>
      <c r="B108" s="52">
        <f>(SUMPRODUCT(($F$31:$O$31)/(1+$A108)^$F$29:$O$29)+$O$6*((1+$C$26)*$C$36-Zalozenia!$B$35*$C$26)/($A108-$C$26)/(1+$A108)^$O$29-C52)/C54</f>
        <v>70.1160295546826</v>
      </c>
    </row>
    <row r="109" spans="1:2">
      <c r="A109" s="59">
        <f>$C$26+0.005+0.0025*29</f>
        <v>0.1025</v>
      </c>
      <c r="B109" s="52">
        <f>(SUMPRODUCT(($F$31:$O$31)/(1+$A109)^$F$29:$O$29)+$O$6*((1+$C$26)*$C$36-Zalozenia!$B$35*$C$26)/($A109-$C$26)/(1+$A109)^$O$29-C52)/C54</f>
        <v>67.52627009974181</v>
      </c>
    </row>
    <row r="110" spans="1:2">
      <c r="A110" s="59">
        <f>$C$26+0.005+0.0025*30</f>
        <v>0.105</v>
      </c>
      <c r="B110" s="52">
        <f>(SUMPRODUCT(($F$31:$O$31)/(1+$A110)^$F$29:$O$29)+$O$6*((1+$C$26)*$C$36-Zalozenia!$B$35*$C$26)/($A110-$C$26)/(1+$A110)^$O$29-C52)/C54</f>
        <v>65.09887700823548</v>
      </c>
    </row>
    <row r="111" spans="1:2">
      <c r="A111" s="59">
        <f>$C$26+0.005+0.0025*31</f>
        <v>0.1075</v>
      </c>
      <c r="B111" s="52">
        <f>(SUMPRODUCT(($F$31:$O$31)/(1+$A111)^$F$29:$O$29)+$O$6*((1+$C$26)*$C$36-Zalozenia!$B$35*$C$26)/($A111-$C$26)/(1+$A111)^$O$29-C52)/C54</f>
        <v>62.81908218443877</v>
      </c>
    </row>
    <row r="112" spans="1:2">
      <c r="A112" s="59">
        <f>$C$26+0.005+0.0025*32</f>
        <v>0.11</v>
      </c>
      <c r="B112" s="52">
        <f>(SUMPRODUCT(($F$31:$O$31)/(1+$A112)^$F$29:$O$29)+$O$6*((1+$C$26)*$C$36-Zalozenia!$B$35*$C$26)/($A112-$C$26)/(1+$A112)^$O$29-C52)/C54</f>
        <v>60.67385508838761</v>
      </c>
    </row>
    <row r="113" spans="1:2">
      <c r="A113" s="59">
        <f>$C$26+0.005+0.0025*33</f>
        <v>0.1125</v>
      </c>
      <c r="B113" s="52">
        <f>(SUMPRODUCT(($F$31:$O$31)/(1+$A113)^$F$29:$O$29)+$O$6*((1+$C$26)*$C$36-Zalozenia!$B$35*$C$26)/($A113-$C$26)/(1+$A113)^$O$29-C52)/C54</f>
        <v>58.651654510877464</v>
      </c>
    </row>
    <row r="114" spans="1:2">
      <c r="A114" s="59">
        <f>$C$26+0.005+0.0025*34</f>
        <v>0.115</v>
      </c>
      <c r="B114" s="52">
        <f>(SUMPRODUCT(($F$31:$O$31)/(1+$A114)^$F$29:$O$29)+$O$6*((1+$C$26)*$C$36-Zalozenia!$B$35*$C$26)/($A114-$C$26)/(1+$A114)^$O$29-C52)/C54</f>
        <v>56.74222171935973</v>
      </c>
    </row>
    <row r="115" spans="1:2">
      <c r="A115" s="59">
        <f>$C$26+0.005+0.0025*35</f>
        <v>0.11750000000000001</v>
      </c>
      <c r="B115" s="52">
        <f>(SUMPRODUCT(($F$31:$O$31)/(1+$A115)^$F$29:$O$29)+$O$6*((1+$C$26)*$C$36-Zalozenia!$B$35*$C$26)/($A115-$C$26)/(1+$A115)^$O$29-C52)/C54</f>
        <v>54.93640714780907</v>
      </c>
    </row>
    <row r="116" spans="1:2">
      <c r="A116" s="59">
        <f>$C$26+0.005+0.0025*36</f>
        <v>0.12</v>
      </c>
      <c r="B116" s="52">
        <f>(SUMPRODUCT(($F$31:$O$31)/(1+$A116)^$F$29:$O$29)+$O$6*((1+$C$26)*$C$36-Zalozenia!$B$35*$C$26)/($A116-$C$26)/(1+$A116)^$O$29-C52)/C54</f>
        <v>53.2260244514063</v>
      </c>
    </row>
    <row r="117" spans="1:2">
      <c r="A117" s="59">
        <f>$C$26+0.005+0.0025*37</f>
        <v>0.1225</v>
      </c>
      <c r="B117" s="52">
        <f>(SUMPRODUCT(($F$31:$O$31)/(1+$A117)^$F$29:$O$29)+$O$6*((1+$C$26)*$C$36-Zalozenia!$B$35*$C$26)/($A117-$C$26)/(1+$A117)^$O$29-C52)/C54</f>
        <v>51.60372701440265</v>
      </c>
    </row>
    <row r="118" spans="1:2">
      <c r="A118" s="59">
        <f>$C$26+0.005+0.0025*38</f>
        <v>0.125</v>
      </c>
      <c r="B118" s="52">
        <f>(SUMPRODUCT(($F$31:$O$31)/(1+$A118)^$F$29:$O$29)+$O$6*((1+$C$26)*$C$36-Zalozenia!$B$35*$C$26)/($A118-$C$26)/(1+$A118)^$O$29-C52)/C54</f>
        <v>50.06290298185594</v>
      </c>
    </row>
    <row r="119" spans="1:2">
      <c r="A119" s="59">
        <f>$C$26+0.005+0.0025*39</f>
        <v>0.1275</v>
      </c>
      <c r="B119" s="52">
        <f>(SUMPRODUCT(($F$31:$O$31)/(1+$A119)^$F$29:$O$29)+$O$6*((1+$C$26)*$C$36-Zalozenia!$B$35*$C$26)/($A119-$C$26)/(1+$A119)^$O$29-C52)/C54</f>
        <v>48.59758565262671</v>
      </c>
    </row>
    <row r="120" spans="1:2">
      <c r="A120" s="59">
        <f>$C$26+0.005+0.0025*40</f>
        <v>0.13</v>
      </c>
      <c r="B120" s="52">
        <f>(SUMPRODUCT(($F$31:$O$31)/(1+$A120)^$F$29:$O$29)+$O$6*((1+$C$26)*$C$36-Zalozenia!$B$35*$C$26)/($A120-$C$26)/(1+$A120)^$O$29-C52)/C54</f>
        <v>47.20237667342167</v>
      </c>
    </row>
    <row r="121" spans="1:2">
      <c r="A121" s="59">
        <f>$C$26+0.005+0.0025*41</f>
        <v>0.1325</v>
      </c>
      <c r="B121" s="52">
        <f>(SUMPRODUCT(($F$31:$O$31)/(1+$A121)^$F$29:$O$29)+$O$6*((1+$C$26)*$C$36-Zalozenia!$B$35*$C$26)/($A121-$C$26)/(1+$A121)^$O$29-C52)/C54</f>
        <v>45.872379949992286</v>
      </c>
    </row>
    <row r="122" spans="1:2">
      <c r="A122" s="59">
        <f>$C$26+0.005+0.0025*42</f>
        <v>0.135</v>
      </c>
      <c r="B122" s="52">
        <f>(SUMPRODUCT(($F$31:$O$31)/(1+$A122)^$F$29:$O$29)+$O$6*((1+$C$26)*$C$36-Zalozenia!$B$35*$C$26)/($A122-$C$26)/(1+$A122)^$O$29-C52)/C54</f>
        <v>44.603144570485874</v>
      </c>
    </row>
    <row r="123" spans="1:2">
      <c r="A123" s="59">
        <f>$C$26+0.005+0.0025*43</f>
        <v>0.1375</v>
      </c>
      <c r="B123" s="52">
        <f>(SUMPRODUCT(($F$31:$O$31)/(1+$A123)^$F$29:$O$29)+$O$6*((1+$C$26)*$C$36-Zalozenia!$B$35*$C$26)/($A123-$C$26)/(1+$A123)^$O$29-C52)/C54</f>
        <v>43.3906153390564</v>
      </c>
    </row>
    <row r="124" spans="1:2">
      <c r="A124" s="59">
        <f>$C$26+0.005+0.0025*44</f>
        <v>0.14</v>
      </c>
      <c r="B124" s="52">
        <f>(SUMPRODUCT(($F$31:$O$31)/(1+$A124)^$F$29:$O$29)+$O$6*((1+$C$26)*$C$36-Zalozenia!$B$35*$C$26)/($A124-$C$26)/(1+$A124)^$O$29-C52)/C54</f>
        <v>42.23108976165241</v>
      </c>
    </row>
    <row r="125" spans="1:2">
      <c r="A125" s="59">
        <f>$C$26+0.005+0.0025*45</f>
        <v>0.14250000000000002</v>
      </c>
      <c r="B125" s="52">
        <f>(SUMPRODUCT(($F$31:$O$31)/(1+$A125)^$F$29:$O$29)+$O$6*((1+$C$26)*$C$36-Zalozenia!$B$35*$C$26)/($A125-$C$26)/(1+$A125)^$O$29-C52)/C54</f>
        <v>41.12118052301794</v>
      </c>
    </row>
    <row r="126" spans="1:2">
      <c r="A126" s="59">
        <f>$C$26+0.005+0.0025*46</f>
        <v>0.14500000000000002</v>
      </c>
      <c r="B126" s="52">
        <f>(SUMPRODUCT(($F$31:$O$31)/(1+$A126)^$F$29:$O$29)+$O$6*((1+$C$26)*$C$36-Zalozenia!$B$35*$C$26)/($A126-$C$26)/(1+$A126)^$O$29-C52)/C54</f>
        <v>40.057782654102844</v>
      </c>
    </row>
    <row r="127" spans="1:2">
      <c r="A127" s="59">
        <f>$C$26+0.005+0.0025*47</f>
        <v>0.14750000000000002</v>
      </c>
      <c r="B127" s="52">
        <f>(SUMPRODUCT(($F$31:$O$31)/(1+$A127)^$F$29:$O$29)+$O$6*((1+$C$26)*$C$36-Zalozenia!$B$35*$C$26)/($A127-$C$26)/(1+$A127)^$O$29-C52)/C54</f>
        <v>39.038044719824576</v>
      </c>
    </row>
    <row r="128" spans="1:2">
      <c r="A128" s="59">
        <f>$C$26+0.005+0.0025*48</f>
        <v>0.15</v>
      </c>
      <c r="B128" s="52">
        <f>(SUMPRODUCT(($F$31:$O$31)/(1+$A128)^$F$29:$O$29)+$O$6*((1+$C$26)*$C$36-Zalozenia!$B$35*$C$26)/($A128-$C$26)/(1+$A128)^$O$29-C52)/C54</f>
        <v>38.05934346433015</v>
      </c>
    </row>
    <row r="130" spans="1:1">
      <c r="A130" s="2" t="s">
        <v>191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E51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/>
  <cols>
    <col min="1" max="1" width="58.7109375" customWidth="1"/>
    <col min="2" max="5" width="17.7109375" customWidth="1"/>
    <col min="6" max="6" width="3.7109375" customWidth="1"/>
    <col min="7" max="7" width="60.7109375" customWidth="1"/>
  </cols>
  <sheetData>
    <row r="1" spans="1:5">
      <c r="A1" s="1" t="s">
        <v>194</v>
      </c>
    </row>
    <row r="2" spans="1:5">
      <c r="A2" s="2" t="str">
        <f>Zalozenia!$B$5&amp;" ("&amp;Zalozenia!$B$6&amp;"). Wynik modelu autora, nie rekomendacja inwestycyjna."</f>
        <v>Spółka Przykładowa S.A. (SPRZ). Wynik modelu autora, nie rekomendacja inwestycyjna.</v>
      </c>
    </row>
    <row r="3" spans="1:5">
      <c r="A3" s="7" t="s">
        <v>27</v>
      </c>
      <c r="B3" s="60">
        <f>Zalozenia!$B$8</f>
        <v>46293</v>
      </c>
    </row>
    <row r="5" spans="1:5">
      <c r="A5" s="21" t="s">
        <v>195</v>
      </c>
      <c r="B5" s="18" t="s">
        <v>196</v>
      </c>
      <c r="C5" s="18" t="s">
        <v>197</v>
      </c>
      <c r="D5" s="18" t="s">
        <v>198</v>
      </c>
      <c r="E5" s="18" t="s">
        <v>199</v>
      </c>
    </row>
    <row r="6" spans="1:5">
      <c r="A6" s="46" t="s">
        <v>200</v>
      </c>
      <c r="B6" s="61">
        <f>Zalozenia!$B$60</f>
        <v>0.25</v>
      </c>
      <c r="C6" s="61">
        <f>Zalozenia!$B$69</f>
        <v>0.5</v>
      </c>
      <c r="D6" s="61">
        <f>Zalozenia!$B$78</f>
        <v>0.25</v>
      </c>
      <c r="E6" s="34">
        <f>SUM(B6:D6)</f>
        <v>1.0</v>
      </c>
    </row>
    <row r="7" spans="1:5">
      <c r="A7" s="46" t="s">
        <v>189</v>
      </c>
      <c r="B7" s="62">
        <f>DCF_Pesymistyczny!$C$25</f>
        <v>0.1050165</v>
      </c>
      <c r="C7" s="62">
        <f>DCF_Bazowy!$C$25</f>
        <v>0.0950165</v>
      </c>
      <c r="D7" s="62">
        <f>DCF_Optymistyczny!$C$25</f>
        <v>0.0900165</v>
      </c>
    </row>
    <row r="8" spans="1:5">
      <c r="A8" s="46" t="s">
        <v>99</v>
      </c>
      <c r="B8" s="62">
        <f>DCF_Pesymistyczny!$C$26</f>
        <v>0.015</v>
      </c>
      <c r="C8" s="62">
        <f>DCF_Bazowy!$C$26</f>
        <v>0.02</v>
      </c>
      <c r="D8" s="62">
        <f>DCF_Optymistyczny!$C$26</f>
        <v>0.025</v>
      </c>
    </row>
    <row r="9" spans="1:5">
      <c r="A9" s="46" t="s">
        <v>201</v>
      </c>
      <c r="B9" s="61">
        <f>DCF_Pesymistyczny!$O$7</f>
        <v>0.12</v>
      </c>
      <c r="C9" s="61">
        <f>DCF_Bazowy!$O$7</f>
        <v>0.15</v>
      </c>
      <c r="D9" s="61">
        <f>DCF_Optymistyczny!$O$7</f>
        <v>0.16</v>
      </c>
    </row>
    <row r="10" spans="1:5">
      <c r="A10" s="46" t="s">
        <v>202</v>
      </c>
      <c r="B10" s="63">
        <f>DCF_Pesymistyczny!$C$50</f>
        <v>940.4984519539428</v>
      </c>
      <c r="C10" s="63">
        <f>DCF_Bazowy!$C$50</f>
        <v>1806.4591316631577</v>
      </c>
      <c r="D10" s="63">
        <f>DCF_Optymistyczny!$C$50</f>
        <v>2261.7821973657005</v>
      </c>
      <c r="E10" s="64">
        <f>SUMPRODUCT($B$6:$D$6,B10:D10)</f>
        <v>1703.7997281614898</v>
      </c>
    </row>
    <row r="11" spans="1:5">
      <c r="A11" s="46" t="s">
        <v>203</v>
      </c>
      <c r="B11" s="63">
        <f>DCF_Pesymistyczny!$C$53</f>
        <v>690.4984519539428</v>
      </c>
      <c r="C11" s="63">
        <f>DCF_Bazowy!$C$53</f>
        <v>1556.4591316631577</v>
      </c>
      <c r="D11" s="63">
        <f>DCF_Optymistyczny!$C$53</f>
        <v>2011.7821973657005</v>
      </c>
      <c r="E11" s="64">
        <f>SUMPRODUCT($B$6:$D$6,B11:D11)</f>
        <v>1453.7997281614898</v>
      </c>
    </row>
    <row r="12" spans="1:5">
      <c r="A12" s="35" t="s">
        <v>204</v>
      </c>
      <c r="B12" s="65">
        <f>DCF_Pesymistyczny!$C$55</f>
        <v>28.299116883358312</v>
      </c>
      <c r="C12" s="65">
        <f>DCF_Bazowy!$C$55</f>
        <v>63.78930867471958</v>
      </c>
      <c r="D12" s="65">
        <f>DCF_Optymistyczny!$C$55</f>
        <v>82.45009005597134</v>
      </c>
      <c r="E12" s="57">
        <f>SUMPRODUCT($B$6:$D$6,B12:D12)</f>
        <v>59.581956072192206</v>
      </c>
    </row>
    <row r="13" spans="1:5">
      <c r="A13" s="46" t="s">
        <v>180</v>
      </c>
      <c r="B13" s="61">
        <f>DCF_Pesymistyczny!$C$57</f>
        <v>-0.3568382526509475</v>
      </c>
      <c r="C13" s="61">
        <f>DCF_Bazowy!$C$57</f>
        <v>0.4497570153345358</v>
      </c>
      <c r="D13" s="61">
        <f>DCF_Optymistyczny!$C$57</f>
        <v>0.8738656830902578</v>
      </c>
      <c r="E13" s="34">
        <f>E12/B19-1</f>
        <v>0.35413536527709555</v>
      </c>
    </row>
    <row r="14" spans="1:5">
      <c r="A14" s="46" t="s">
        <v>172</v>
      </c>
      <c r="B14" s="61">
        <f>DCF_Pesymistyczny!$C$51</f>
        <v>0.4631643925393876</v>
      </c>
      <c r="C14" s="61">
        <f>DCF_Bazowy!$C$51</f>
        <v>0.5433740435823121</v>
      </c>
      <c r="D14" s="61">
        <f>DCF_Optymistyczny!$C$51</f>
        <v>0.585204382999329</v>
      </c>
    </row>
    <row r="15" spans="1:5">
      <c r="A15" s="46" t="s">
        <v>205</v>
      </c>
      <c r="B15" s="66">
        <f>DCF_Pesymistyczny!$C$40</f>
        <v>5.380926466849086</v>
      </c>
      <c r="C15" s="66">
        <f>DCF_Bazowy!$C$40</f>
        <v>7.417419901631921</v>
      </c>
      <c r="D15" s="66">
        <f>DCF_Optymistyczny!$C$40</f>
        <v>8.818506888752298</v>
      </c>
    </row>
    <row r="16" spans="1:5">
      <c r="A16" s="46" t="s">
        <v>206</v>
      </c>
      <c r="B16" s="61">
        <f>DCF_Pesymistyczny!$C$43</f>
        <v>0.14525618374558336</v>
      </c>
      <c r="C16" s="61">
        <f>DCF_Bazowy!$C$43</f>
        <v>0.24821459227467807</v>
      </c>
      <c r="D16" s="61">
        <f>DCF_Optymistyczny!$C$43</f>
        <v>0.31355911330049274</v>
      </c>
    </row>
    <row r="17" spans="1:5">
      <c r="A17" s="46" t="s">
        <v>207</v>
      </c>
      <c r="B17" s="61">
        <f>DCF_Pesymistyczny!$C$44</f>
        <v>0.03158649199031825</v>
      </c>
      <c r="C17" s="61">
        <f>DCF_Bazowy!$C$44</f>
        <v>0.31717472791734286</v>
      </c>
      <c r="D17" s="61">
        <f>DCF_Optymistyczny!$C$44</f>
        <v>0.39765564247038826</v>
      </c>
    </row>
    <row r="18" spans="1:5">
      <c r="A18" s="35" t="s">
        <v>208</v>
      </c>
      <c r="B18" s="67">
        <f>DCF_Pesymistyczny!$C$60</f>
        <v>0.07848632017394502</v>
      </c>
      <c r="C18" s="67">
        <f>DCF_Bazowy!$C$60</f>
        <v>0.12223971767490142</v>
      </c>
      <c r="D18" s="67">
        <f>DCF_Optymistyczny!$C$60</f>
        <v>0.13624356707214147</v>
      </c>
    </row>
    <row r="19" spans="1:5">
      <c r="A19" s="7" t="s">
        <v>209</v>
      </c>
      <c r="B19" s="50">
        <f>Zalozenia!$B$9</f>
        <v>44</v>
      </c>
      <c r="C19" s="50">
        <f>$B$19</f>
        <v>44</v>
      </c>
      <c r="D19" s="50">
        <f>$B$19</f>
        <v>44</v>
      </c>
      <c r="E19" s="50">
        <f>$B$19</f>
        <v>44</v>
      </c>
    </row>
    <row r="21" spans="1:5">
      <c r="A21" s="3" t="s">
        <v>210</v>
      </c>
      <c r="B21" s="3"/>
      <c r="C21" s="3"/>
      <c r="D21" s="3"/>
      <c r="E21" s="3"/>
    </row>
    <row r="22" spans="1:5">
      <c r="A22" s="7" t="s">
        <v>211</v>
      </c>
      <c r="B22" s="50">
        <f>DCF_Bazowy!E67</f>
        <v>59.13816237901024</v>
      </c>
    </row>
    <row r="23" spans="1:5">
      <c r="A23" s="7" t="s">
        <v>212</v>
      </c>
      <c r="B23" s="50">
        <f>DCF_Bazowy!E65</f>
        <v>69.1082313837944</v>
      </c>
    </row>
    <row r="24" spans="1:5">
      <c r="A24" s="7" t="s">
        <v>213</v>
      </c>
      <c r="B24" s="50">
        <f>DCF_Bazowy!E66</f>
        <v>63.78930867471958</v>
      </c>
    </row>
    <row r="26" spans="1:5">
      <c r="A26" s="3" t="s">
        <v>214</v>
      </c>
      <c r="B26" s="3"/>
      <c r="C26" s="3"/>
      <c r="D26" s="3"/>
      <c r="E26" s="3"/>
    </row>
    <row r="27" spans="1:5">
      <c r="A27" s="7" t="s">
        <v>215</v>
      </c>
      <c r="B27" s="68">
        <f>ROUND(B22,0)</f>
        <v>59.0</v>
      </c>
    </row>
    <row r="28" spans="1:5">
      <c r="A28" s="7" t="s">
        <v>216</v>
      </c>
      <c r="B28" s="68">
        <f>ROUND(B23,0)</f>
        <v>69.0</v>
      </c>
    </row>
    <row r="29" spans="1:5">
      <c r="A29" s="7" t="s">
        <v>217</v>
      </c>
      <c r="B29" s="68">
        <f>ROUND(B24,0)</f>
        <v>64.0</v>
      </c>
    </row>
    <row r="30" spans="1:5">
      <c r="A30" s="7" t="s">
        <v>218</v>
      </c>
      <c r="B30" s="69">
        <f>B19</f>
        <v>44</v>
      </c>
    </row>
    <row r="32" spans="1:5">
      <c r="A32" s="3" t="s">
        <v>219</v>
      </c>
      <c r="B32" s="3"/>
      <c r="C32" s="3"/>
      <c r="D32" s="3"/>
      <c r="E32" s="3"/>
    </row>
    <row r="33" spans="1:5">
      <c r="A33" s="35" t="s">
        <v>220</v>
      </c>
      <c r="B33" s="35" t="s">
        <v>221</v>
      </c>
      <c r="C33" s="35" t="s">
        <v>222</v>
      </c>
    </row>
    <row r="34" spans="1:5">
      <c r="A34" s="7" t="s">
        <v>196</v>
      </c>
      <c r="B34" s="27" t="str">
        <f>ROUND(B12,0)&amp;" zł"</f>
        <v>28 zł</v>
      </c>
      <c r="C34" s="7" t="str">
        <f>"Marża EBITDA (rok 10) "&amp;SUBSTITUTE(ROUND(B9*100,1)&amp;"%",".",",")&amp;", WACC "&amp;SUBSTITUTE(ROUND(B7*100,1)&amp;"%",".",",")&amp;", wzrost "&amp;SUBSTITUTE(ROUND(B8*100,1)&amp;"%",".",",")</f>
        <v>Marża EBITDA (rok 10) 12%, WACC 10,5%, wzrost 1,5%</v>
      </c>
    </row>
    <row r="35" spans="1:5">
      <c r="A35" s="7" t="s">
        <v>197</v>
      </c>
      <c r="B35" s="27" t="str">
        <f>ROUND(C12,0)&amp;" zł"</f>
        <v>64 zł</v>
      </c>
      <c r="C35" s="7" t="str">
        <f>"Marża EBITDA (rok 10) "&amp;SUBSTITUTE(ROUND(C9*100,1)&amp;"%",".",",")&amp;", WACC "&amp;SUBSTITUTE(ROUND(C7*100,1)&amp;"%",".",",")&amp;", wzrost "&amp;SUBSTITUTE(ROUND(C8*100,1)&amp;"%",".",",")</f>
        <v>Marża EBITDA (rok 10) 15%, WACC 9,5%, wzrost 2%</v>
      </c>
    </row>
    <row r="36" spans="1:5">
      <c r="A36" s="7" t="s">
        <v>198</v>
      </c>
      <c r="B36" s="27" t="str">
        <f>ROUND(D12,0)&amp;" zł"</f>
        <v>82 zł</v>
      </c>
      <c r="C36" s="7" t="str">
        <f>"Marża EBITDA (rok 10) "&amp;SUBSTITUTE(ROUND(D9*100,1)&amp;"%",".",",")&amp;", WACC "&amp;SUBSTITUTE(ROUND(D7*100,1)&amp;"%",".",",")&amp;", wzrost "&amp;SUBSTITUTE(ROUND(D8*100,1)&amp;"%",".",",")</f>
        <v>Marża EBITDA (rok 10) 16%, WACC 9%, wzrost 2,5%</v>
      </c>
    </row>
    <row r="38" spans="1:5">
      <c r="A38" s="3" t="s">
        <v>223</v>
      </c>
      <c r="B38" s="3"/>
      <c r="C38" s="3"/>
      <c r="D38" s="3"/>
      <c r="E38" s="3"/>
    </row>
    <row r="39" spans="1:5">
      <c r="A39" s="5" t="s">
        <v>224</v>
      </c>
      <c r="B39" s="70" t="str">
        <f>IF(ABS(Zalozenia!$B$80-1)&lt;0.0001,"OK","SPRAWDŹ")</f>
        <v>OK</v>
      </c>
    </row>
    <row r="40" spans="1:5">
      <c r="A40" s="5" t="s">
        <v>225</v>
      </c>
      <c r="B40" s="70" t="str">
        <f>IF(AND(B7&gt;B8,C7&gt;C8,D7&gt;D8),"OK","SPRAWDŹ")</f>
        <v>OK</v>
      </c>
    </row>
    <row r="41" spans="1:5">
      <c r="A41" s="5" t="s">
        <v>226</v>
      </c>
      <c r="B41" s="70" t="str">
        <f>IF(AND(B14&lt;=Zalozenia!$B$40,C14&lt;=Zalozenia!$B$40,D14&lt;=Zalozenia!$B$40),"OK","SPRAWDŹ")</f>
        <v>OK</v>
      </c>
    </row>
    <row r="42" spans="1:5">
      <c r="A42" s="5" t="s">
        <v>227</v>
      </c>
      <c r="B42" s="70" t="str">
        <f>IF(AND(B12&lt;=C12,C12&lt;=D12),"OK","SPRAWDŹ")</f>
        <v>OK</v>
      </c>
    </row>
    <row r="43" spans="1:5">
      <c r="A43" s="5" t="s">
        <v>228</v>
      </c>
      <c r="B43" s="70" t="str">
        <f>IF(AND(ABS(DCF_Pesymistyczny!E66-DCF_Pesymistyczny!$C$55)&lt;0.001,ABS(DCF_Bazowy!E66-DCF_Bazowy!$C$55)&lt;0.001,ABS(DCF_Optymistyczny!E66-DCF_Optymistyczny!$C$55)&lt;0.001),"OK","SPRAWDŹ")</f>
        <v>OK</v>
      </c>
    </row>
    <row r="44" spans="1:5">
      <c r="A44" s="5" t="s">
        <v>229</v>
      </c>
      <c r="B44" s="70" t="str">
        <f>IF(AND(ABS(DCF_Pesymistyczny!E74-DCF_Pesymistyczny!$C$55)&lt;0.001,ABS(DCF_Bazowy!E74-DCF_Bazowy!$C$55)&lt;0.001,ABS(DCF_Optymistyczny!E74-DCF_Optymistyczny!$C$55)&lt;0.001),"OK","SPRAWDŹ")</f>
        <v>OK</v>
      </c>
    </row>
    <row r="45" spans="1:5">
      <c r="A45" s="5" t="s">
        <v>230</v>
      </c>
      <c r="B45" s="70" t="str">
        <f>IF(AND(MIN(DCF_Pesymistyczny!$F$11:$P$11)&gt;0,MIN(DCF_Bazowy!$F$11:$P$11)&gt;0,MIN(DCF_Optymistyczny!$F$11:$P$11)&gt;0),"OK","SPRAWDŹ")</f>
        <v>OK</v>
      </c>
    </row>
    <row r="46" spans="1:5">
      <c r="A46" s="5" t="s">
        <v>231</v>
      </c>
      <c r="B46" s="70" t="str">
        <f>IF(AND(Zalozenia!$B$8&gt;=DATE(Zalozenia!$B$11,1,1),Zalozenia!$B$8&lt;=DATE(Zalozenia!$B$11,12,31)),"OK","SPRAWDŹ")</f>
        <v>OK</v>
      </c>
    </row>
    <row r="47" spans="1:5">
      <c r="A47" s="5" t="s">
        <v>232</v>
      </c>
      <c r="B47" s="70" t="str">
        <f>IF(Zalozenia!$B$11=Historia!$D$3+1,"OK","SPRAWDŹ")</f>
        <v>OK</v>
      </c>
    </row>
    <row r="48" spans="1:5">
      <c r="A48" s="5" t="s">
        <v>233</v>
      </c>
      <c r="B48" s="70" t="str">
        <f>IF(IF(ISNUMBER(C16),C16&gt;=C7,TRUE),"OK","SPRAWDŹ")</f>
        <v>OK</v>
      </c>
    </row>
    <row r="49" spans="1:2">
      <c r="A49" s="5" t="s">
        <v>234</v>
      </c>
      <c r="B49" s="70" t="str">
        <f>IF(IF(ISNUMBER(C17),C17&gt;=C7,TRUE),"OK","SPRAWDŹ")</f>
        <v>OK</v>
      </c>
    </row>
    <row r="50" spans="1:2">
      <c r="A50" s="5" t="s">
        <v>235</v>
      </c>
      <c r="B50" s="70" t="str">
        <f>IF(ABS(DCF_Bazowy!$C$40/DCF_Bazowy!$C$41-1)&lt;=0.3,"OK","SPRAWDŹ")</f>
        <v>OK</v>
      </c>
    </row>
    <row r="51" spans="1:2">
      <c r="A51" s="24" t="s">
        <v>236</v>
      </c>
      <c r="B51" s="71" t="str">
        <f>IF(COUNTIF(B39:B50,"OK")=12,"WSZYSTKO OK","SPRAWDŹ KONTROLE")</f>
        <v>WSZYSTKO OK</v>
      </c>
    </row>
  </sheetData>
  <conditionalFormatting sqref="B39:B51">
    <cfRule type="beginsWith" dxfId="0" priority="1" operator="beginsWith" text="OK">
      <formula>LEFT(B39,2)="OK"</formula>
    </cfRule>
    <cfRule type="beginsWith" dxfId="0" priority="2" operator="beginsWith" text="WSZYSTKO">
      <formula>LEFT(B39,8)="WSZYSTKO"</formula>
    </cfRule>
    <cfRule type="beginsWith" dxfId="1" priority="3" operator="beginsWith" text="SPRAWDŹ">
      <formula>LEFT(B39,7)="SPRAWDŹ"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Instrukcja</vt:lpstr>
      <vt:lpstr>Zalozenia</vt:lpstr>
      <vt:lpstr>Historia</vt:lpstr>
      <vt:lpstr>DCF_Pesymistyczny</vt:lpstr>
      <vt:lpstr>DCF_Bazowy</vt:lpstr>
      <vt:lpstr>DCF_Optymistyczny</vt:lpstr>
      <vt:lpstr>Wynik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Model DCF (przykładowy)</dc:title>
  <dc:subject>Wycena metodą zdyskontowanych przepływów pieniężnych</dc:subject>
  <dc:creator>Kawiarnia Rynkowa</dc:creator>
  <dc:description>Dane przykładowe. Wynik modelu nie jest rekomendacją inwestycyjną.</dc:description>
  <cp:lastModifiedBy>Kawiarnia Rynkowa</cp:lastModifiedBy>
  <dcterms:created xsi:type="dcterms:W3CDTF">2026-10-08T06:27:35Z</dcterms:created>
  <dcterms:modified xsi:type="dcterms:W3CDTF">2026-10-08T06:27:35Z</dcterms:modified>
</cp:coreProperties>
</file>